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worksheets/sheet2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charts/chart1.xml" ContentType="application/vnd.openxmlformats-officedocument.drawingml.char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firstSheet="1" activeTab="4"/>
  </bookViews>
  <sheets>
    <sheet name="CropBurn" sheetId="1" r:id="rId1"/>
    <sheet name="DirN2OManSoil" sheetId="2" r:id="rId2"/>
    <sheet name="DirN2OManSoilPol" sheetId="25" r:id="rId3"/>
    <sheet name="IndN2OManSoil" sheetId="3" r:id="rId4"/>
    <sheet name="CropScenarios" sheetId="21" r:id="rId5"/>
    <sheet name="LstockEnteric" sheetId="17" r:id="rId6"/>
    <sheet name="LstockManMgtCH4" sheetId="19" r:id="rId7"/>
    <sheet name="LstockManMgtN2O" sheetId="20" r:id="rId8"/>
    <sheet name="LstockScen" sheetId="22" r:id="rId9"/>
    <sheet name="Master Table 2006 2013" sheetId="5" r:id="rId10"/>
    <sheet name="LStock_Heads" sheetId="24" r:id="rId11"/>
    <sheet name="LStock_Options" sheetId="23" r:id="rId12"/>
    <sheet name="Ls2006" sheetId="6" r:id="rId13"/>
    <sheet name="Ls2007" sheetId="7" r:id="rId14"/>
    <sheet name="Ls2008" sheetId="8" r:id="rId15"/>
    <sheet name="Ls2009" sheetId="9" r:id="rId16"/>
    <sheet name="Ls2010" sheetId="10" r:id="rId17"/>
    <sheet name="Ls2011" sheetId="11" r:id="rId18"/>
    <sheet name="Ls2012" sheetId="12" r:id="rId19"/>
    <sheet name="Ls2013" sheetId="13" r:id="rId20"/>
    <sheet name="CH4 Emission factors" sheetId="14" r:id="rId21"/>
    <sheet name="N2OEF" sheetId="15" r:id="rId22"/>
    <sheet name="MMS" sheetId="16" r:id="rId23"/>
    <sheet name="Sheet1" sheetId="4" r:id="rId24"/>
  </sheets>
  <calcPr calcId="145621"/>
</workbook>
</file>

<file path=xl/calcChain.xml><?xml version="1.0" encoding="utf-8"?>
<calcChain xmlns="http://schemas.openxmlformats.org/spreadsheetml/2006/main">
  <c r="AI39" i="2" l="1"/>
  <c r="AG39" i="2"/>
  <c r="W6" i="21" l="1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V6" i="21"/>
  <c r="V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S6" i="21"/>
  <c r="S7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5" i="21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R43" i="3"/>
  <c r="R44" i="3"/>
  <c r="R45" i="3"/>
  <c r="R46" i="3"/>
  <c r="Q43" i="3"/>
  <c r="Q44" i="3"/>
  <c r="Q45" i="3"/>
  <c r="Q46" i="3"/>
  <c r="P43" i="3"/>
  <c r="P44" i="3"/>
  <c r="P45" i="3"/>
  <c r="P46" i="3"/>
  <c r="O43" i="3"/>
  <c r="O44" i="3"/>
  <c r="O45" i="3"/>
  <c r="O46" i="3"/>
  <c r="N43" i="3"/>
  <c r="N44" i="3"/>
  <c r="N45" i="3"/>
  <c r="N46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29" i="3"/>
  <c r="L43" i="3"/>
  <c r="L44" i="3"/>
  <c r="L45" i="3"/>
  <c r="L46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18" i="3"/>
  <c r="Q6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N5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16" i="21"/>
  <c r="AK40" i="2"/>
  <c r="AK41" i="2"/>
  <c r="AK42" i="2"/>
  <c r="AK43" i="2"/>
  <c r="AJ40" i="2"/>
  <c r="AJ41" i="2"/>
  <c r="AJ42" i="2"/>
  <c r="AJ43" i="2"/>
  <c r="AI40" i="2"/>
  <c r="AI41" i="2"/>
  <c r="AI42" i="2"/>
  <c r="AI43" i="2"/>
  <c r="AG40" i="2"/>
  <c r="AG41" i="2"/>
  <c r="AG42" i="2"/>
  <c r="AG43" i="2"/>
  <c r="AF40" i="2"/>
  <c r="AF41" i="2"/>
  <c r="AF42" i="2"/>
  <c r="AF43" i="2"/>
  <c r="AE40" i="2"/>
  <c r="AE41" i="2"/>
  <c r="AE42" i="2"/>
  <c r="AE43" i="2"/>
  <c r="AD40" i="2"/>
  <c r="AD41" i="2"/>
  <c r="AD42" i="2"/>
  <c r="AD43" i="2"/>
  <c r="N6" i="21" l="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5" i="21"/>
  <c r="C5" i="21"/>
  <c r="N43" i="25"/>
  <c r="N42" i="25"/>
  <c r="N41" i="25"/>
  <c r="N40" i="25"/>
  <c r="N39" i="25"/>
  <c r="N34" i="25"/>
  <c r="N29" i="25"/>
  <c r="N24" i="25"/>
  <c r="M43" i="25"/>
  <c r="M42" i="25"/>
  <c r="M41" i="25"/>
  <c r="M40" i="25"/>
  <c r="M39" i="25"/>
  <c r="M34" i="25"/>
  <c r="M30" i="25" s="1"/>
  <c r="M31" i="25" s="1"/>
  <c r="M29" i="25"/>
  <c r="M24" i="25"/>
  <c r="M23" i="25" s="1"/>
  <c r="D43" i="25"/>
  <c r="D42" i="25"/>
  <c r="D41" i="25"/>
  <c r="D40" i="25"/>
  <c r="D39" i="25"/>
  <c r="D34" i="25"/>
  <c r="D30" i="25" s="1"/>
  <c r="D31" i="25" s="1"/>
  <c r="D29" i="25"/>
  <c r="D24" i="25"/>
  <c r="N35" i="25"/>
  <c r="M35" i="25"/>
  <c r="D35" i="25"/>
  <c r="W30" i="25"/>
  <c r="W31" i="25" s="1"/>
  <c r="W32" i="25" s="1"/>
  <c r="W33" i="25" s="1"/>
  <c r="W34" i="25" s="1"/>
  <c r="W35" i="25" s="1"/>
  <c r="W36" i="25" s="1"/>
  <c r="W37" i="25" s="1"/>
  <c r="W38" i="25" s="1"/>
  <c r="W39" i="25" s="1"/>
  <c r="W40" i="25" s="1"/>
  <c r="W41" i="25" s="1"/>
  <c r="W42" i="25" s="1"/>
  <c r="W43" i="25" s="1"/>
  <c r="AH27" i="25"/>
  <c r="AH28" i="25" s="1"/>
  <c r="AF27" i="25"/>
  <c r="AD27" i="25"/>
  <c r="AF26" i="25"/>
  <c r="AE26" i="25"/>
  <c r="AD26" i="25"/>
  <c r="AG26" i="25" s="1"/>
  <c r="AI26" i="25" s="1"/>
  <c r="AJ26" i="25" s="1"/>
  <c r="M25" i="25"/>
  <c r="D25" i="25"/>
  <c r="D26" i="25" s="1"/>
  <c r="C24" i="25"/>
  <c r="C25" i="25" s="1"/>
  <c r="N23" i="25"/>
  <c r="D23" i="25"/>
  <c r="C23" i="25"/>
  <c r="B23" i="25"/>
  <c r="X23" i="25" s="1"/>
  <c r="X22" i="25"/>
  <c r="X21" i="25"/>
  <c r="X20" i="25"/>
  <c r="X19" i="25"/>
  <c r="X18" i="25"/>
  <c r="X17" i="25"/>
  <c r="X16" i="25"/>
  <c r="X15" i="25"/>
  <c r="E7" i="25"/>
  <c r="P19" i="25" s="1"/>
  <c r="R19" i="25" s="1"/>
  <c r="M30" i="21"/>
  <c r="M31" i="21"/>
  <c r="M32" i="21"/>
  <c r="M33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5" i="21"/>
  <c r="Z41" i="2"/>
  <c r="Z42" i="2"/>
  <c r="Z43" i="2"/>
  <c r="Y41" i="2"/>
  <c r="Y42" i="2"/>
  <c r="Y43" i="2"/>
  <c r="X41" i="2"/>
  <c r="X42" i="2"/>
  <c r="X43" i="2"/>
  <c r="W41" i="2"/>
  <c r="W42" i="2" s="1"/>
  <c r="W43" i="2" s="1"/>
  <c r="W40" i="2"/>
  <c r="X40" i="2" s="1"/>
  <c r="Y40" i="2" s="1"/>
  <c r="Z40" i="2" s="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5" i="21"/>
  <c r="I43" i="3"/>
  <c r="I44" i="3"/>
  <c r="I45" i="3"/>
  <c r="I46" i="3"/>
  <c r="H43" i="3"/>
  <c r="H44" i="3"/>
  <c r="H45" i="3"/>
  <c r="H46" i="3"/>
  <c r="G43" i="3"/>
  <c r="G44" i="3"/>
  <c r="G45" i="3"/>
  <c r="G46" i="3"/>
  <c r="F43" i="3"/>
  <c r="F44" i="3"/>
  <c r="F45" i="3"/>
  <c r="F46" i="3"/>
  <c r="E43" i="3"/>
  <c r="E44" i="3"/>
  <c r="E45" i="3"/>
  <c r="E46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18" i="3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U40" i="2"/>
  <c r="U41" i="2"/>
  <c r="U42" i="2"/>
  <c r="U43" i="2"/>
  <c r="U15" i="2"/>
  <c r="S40" i="2"/>
  <c r="S41" i="2"/>
  <c r="S42" i="2"/>
  <c r="S43" i="2"/>
  <c r="R40" i="2"/>
  <c r="R41" i="2"/>
  <c r="R42" i="2"/>
  <c r="R43" i="2"/>
  <c r="Q40" i="2"/>
  <c r="Q41" i="2"/>
  <c r="Q42" i="2"/>
  <c r="Q43" i="2"/>
  <c r="P40" i="2"/>
  <c r="P41" i="2"/>
  <c r="P42" i="2"/>
  <c r="P43" i="2"/>
  <c r="O40" i="2"/>
  <c r="O41" i="2"/>
  <c r="O42" i="2"/>
  <c r="O43" i="2"/>
  <c r="M36" i="2"/>
  <c r="M37" i="2" s="1"/>
  <c r="M38" i="2" s="1"/>
  <c r="M35" i="2"/>
  <c r="M31" i="2"/>
  <c r="M32" i="2" s="1"/>
  <c r="M33" i="2" s="1"/>
  <c r="M30" i="2"/>
  <c r="M26" i="2"/>
  <c r="M27" i="2" s="1"/>
  <c r="M28" i="2" s="1"/>
  <c r="M25" i="2"/>
  <c r="M23" i="2"/>
  <c r="V75" i="16"/>
  <c r="W75" i="16"/>
  <c r="X75" i="16"/>
  <c r="Y75" i="16"/>
  <c r="Z75" i="16"/>
  <c r="AA75" i="16"/>
  <c r="AB75" i="16"/>
  <c r="U75" i="16"/>
  <c r="V74" i="16"/>
  <c r="W74" i="16"/>
  <c r="X74" i="16"/>
  <c r="Y74" i="16"/>
  <c r="Z74" i="16"/>
  <c r="AA74" i="16"/>
  <c r="AB74" i="16"/>
  <c r="U74" i="16"/>
  <c r="V73" i="16"/>
  <c r="W73" i="16"/>
  <c r="X73" i="16"/>
  <c r="Y73" i="16"/>
  <c r="Z73" i="16"/>
  <c r="AA73" i="16"/>
  <c r="AB73" i="16"/>
  <c r="U73" i="16"/>
  <c r="V72" i="16"/>
  <c r="W72" i="16"/>
  <c r="X72" i="16"/>
  <c r="Y72" i="16"/>
  <c r="Z72" i="16"/>
  <c r="AA72" i="16"/>
  <c r="AB72" i="16"/>
  <c r="U72" i="16"/>
  <c r="V71" i="16"/>
  <c r="W71" i="16"/>
  <c r="X71" i="16"/>
  <c r="Y71" i="16"/>
  <c r="Z71" i="16"/>
  <c r="AA71" i="16"/>
  <c r="AB71" i="16"/>
  <c r="V70" i="16"/>
  <c r="W70" i="16"/>
  <c r="X70" i="16"/>
  <c r="Y70" i="16"/>
  <c r="Z70" i="16"/>
  <c r="AA70" i="16"/>
  <c r="AB70" i="16"/>
  <c r="V68" i="16"/>
  <c r="W68" i="16"/>
  <c r="X68" i="16"/>
  <c r="Y68" i="16"/>
  <c r="Z68" i="16"/>
  <c r="AA68" i="16"/>
  <c r="AB68" i="16"/>
  <c r="V67" i="16"/>
  <c r="W67" i="16"/>
  <c r="X67" i="16"/>
  <c r="Y67" i="16"/>
  <c r="Z67" i="16"/>
  <c r="AA67" i="16"/>
  <c r="AB67" i="16"/>
  <c r="V66" i="16"/>
  <c r="W66" i="16"/>
  <c r="X66" i="16"/>
  <c r="Y66" i="16"/>
  <c r="Z66" i="16"/>
  <c r="AA66" i="16"/>
  <c r="AB66" i="16"/>
  <c r="V65" i="16"/>
  <c r="W65" i="16"/>
  <c r="X65" i="16"/>
  <c r="Y65" i="16"/>
  <c r="Z65" i="16"/>
  <c r="AA65" i="16"/>
  <c r="AB65" i="16"/>
  <c r="V64" i="16"/>
  <c r="W64" i="16"/>
  <c r="X64" i="16"/>
  <c r="Y64" i="16"/>
  <c r="Z64" i="16"/>
  <c r="AA64" i="16"/>
  <c r="AB64" i="16"/>
  <c r="V63" i="16"/>
  <c r="W63" i="16"/>
  <c r="X63" i="16"/>
  <c r="Y63" i="16"/>
  <c r="Z63" i="16"/>
  <c r="AA63" i="16"/>
  <c r="AB63" i="16"/>
  <c r="V62" i="16"/>
  <c r="W62" i="16"/>
  <c r="X62" i="16"/>
  <c r="Y62" i="16"/>
  <c r="Z62" i="16"/>
  <c r="AA62" i="16"/>
  <c r="AB62" i="16"/>
  <c r="V61" i="16"/>
  <c r="W61" i="16"/>
  <c r="X61" i="16"/>
  <c r="Y61" i="16"/>
  <c r="Z61" i="16"/>
  <c r="AA61" i="16"/>
  <c r="AB61" i="16"/>
  <c r="U71" i="16"/>
  <c r="U87" i="16"/>
  <c r="U70" i="16"/>
  <c r="U86" i="16"/>
  <c r="U68" i="16"/>
  <c r="U84" i="16"/>
  <c r="U67" i="16"/>
  <c r="U83" i="16"/>
  <c r="U66" i="16"/>
  <c r="U82" i="16"/>
  <c r="U65" i="16"/>
  <c r="U81" i="16"/>
  <c r="U64" i="16"/>
  <c r="U80" i="16"/>
  <c r="U63" i="16"/>
  <c r="U79" i="16"/>
  <c r="U62" i="16"/>
  <c r="U78" i="16"/>
  <c r="U61" i="16"/>
  <c r="U77" i="16"/>
  <c r="M43" i="2"/>
  <c r="M42" i="2"/>
  <c r="M41" i="2"/>
  <c r="M40" i="2"/>
  <c r="M39" i="2"/>
  <c r="M34" i="2"/>
  <c r="M29" i="2"/>
  <c r="M24" i="2"/>
  <c r="V92" i="16"/>
  <c r="W92" i="16"/>
  <c r="X92" i="16"/>
  <c r="Y92" i="16"/>
  <c r="Z92" i="16"/>
  <c r="AA92" i="16"/>
  <c r="AB92" i="16"/>
  <c r="U92" i="16"/>
  <c r="S92" i="16"/>
  <c r="N36" i="2"/>
  <c r="N37" i="2" s="1"/>
  <c r="N38" i="2" s="1"/>
  <c r="N35" i="2"/>
  <c r="N31" i="2"/>
  <c r="N32" i="2" s="1"/>
  <c r="N33" i="2" s="1"/>
  <c r="N30" i="2"/>
  <c r="N26" i="2"/>
  <c r="N27" i="2" s="1"/>
  <c r="N28" i="2" s="1"/>
  <c r="N25" i="2"/>
  <c r="N23" i="2"/>
  <c r="N43" i="2"/>
  <c r="N42" i="2"/>
  <c r="N41" i="2"/>
  <c r="N40" i="2"/>
  <c r="N39" i="2"/>
  <c r="N34" i="2"/>
  <c r="N29" i="2"/>
  <c r="N24" i="2"/>
  <c r="V91" i="16"/>
  <c r="W91" i="16"/>
  <c r="X91" i="16"/>
  <c r="Y91" i="16"/>
  <c r="Z91" i="16"/>
  <c r="AA91" i="16"/>
  <c r="AB91" i="16"/>
  <c r="U91" i="16"/>
  <c r="K40" i="2"/>
  <c r="K41" i="2"/>
  <c r="K42" i="2"/>
  <c r="K43" i="2"/>
  <c r="J40" i="2"/>
  <c r="J41" i="2"/>
  <c r="J42" i="2"/>
  <c r="J43" i="2"/>
  <c r="I40" i="2"/>
  <c r="I41" i="2"/>
  <c r="I42" i="2"/>
  <c r="I43" i="2"/>
  <c r="H40" i="2"/>
  <c r="H41" i="2"/>
  <c r="H42" i="2"/>
  <c r="H43" i="2"/>
  <c r="G40" i="2"/>
  <c r="G41" i="2"/>
  <c r="G42" i="2"/>
  <c r="G43" i="2"/>
  <c r="D36" i="2"/>
  <c r="D37" i="2" s="1"/>
  <c r="D38" i="2" s="1"/>
  <c r="D35" i="2"/>
  <c r="D31" i="2"/>
  <c r="D32" i="2" s="1"/>
  <c r="D33" i="2" s="1"/>
  <c r="D30" i="2"/>
  <c r="D26" i="2"/>
  <c r="D27" i="2" s="1"/>
  <c r="D28" i="2" s="1"/>
  <c r="D25" i="2"/>
  <c r="D23" i="2"/>
  <c r="D43" i="2"/>
  <c r="D42" i="2"/>
  <c r="D41" i="2"/>
  <c r="D40" i="2"/>
  <c r="D39" i="2"/>
  <c r="D34" i="2"/>
  <c r="D29" i="2"/>
  <c r="D24" i="2"/>
  <c r="V90" i="16"/>
  <c r="W90" i="16"/>
  <c r="X90" i="16"/>
  <c r="Y90" i="16"/>
  <c r="Z90" i="16"/>
  <c r="AA90" i="16"/>
  <c r="AB90" i="16"/>
  <c r="U90" i="16"/>
  <c r="P116" i="16"/>
  <c r="V89" i="16"/>
  <c r="W89" i="16"/>
  <c r="X89" i="16"/>
  <c r="Y89" i="16"/>
  <c r="Z89" i="16"/>
  <c r="AA89" i="16"/>
  <c r="AB89" i="16"/>
  <c r="U89" i="16"/>
  <c r="V87" i="16"/>
  <c r="W87" i="16"/>
  <c r="X87" i="16"/>
  <c r="Y87" i="16"/>
  <c r="Z87" i="16"/>
  <c r="AA87" i="16"/>
  <c r="AB87" i="16"/>
  <c r="V86" i="16"/>
  <c r="W86" i="16"/>
  <c r="X86" i="16"/>
  <c r="Y86" i="16"/>
  <c r="Z86" i="16"/>
  <c r="AA86" i="16"/>
  <c r="AB86" i="16"/>
  <c r="V84" i="16"/>
  <c r="W84" i="16"/>
  <c r="X84" i="16"/>
  <c r="Y84" i="16"/>
  <c r="Z84" i="16"/>
  <c r="AA84" i="16"/>
  <c r="AB84" i="16"/>
  <c r="V83" i="16"/>
  <c r="W83" i="16"/>
  <c r="X83" i="16"/>
  <c r="Y83" i="16"/>
  <c r="Z83" i="16"/>
  <c r="AA83" i="16"/>
  <c r="AB83" i="16"/>
  <c r="V82" i="16"/>
  <c r="W82" i="16"/>
  <c r="X82" i="16"/>
  <c r="Y82" i="16"/>
  <c r="Z82" i="16"/>
  <c r="AA82" i="16"/>
  <c r="AB82" i="16"/>
  <c r="V81" i="16"/>
  <c r="W81" i="16"/>
  <c r="X81" i="16"/>
  <c r="Y81" i="16"/>
  <c r="Z81" i="16"/>
  <c r="AA81" i="16"/>
  <c r="AB81" i="16"/>
  <c r="M104" i="16"/>
  <c r="V80" i="16"/>
  <c r="W80" i="16"/>
  <c r="X80" i="16"/>
  <c r="Y80" i="16"/>
  <c r="Z80" i="16"/>
  <c r="AA80" i="16"/>
  <c r="AB80" i="16"/>
  <c r="V79" i="16"/>
  <c r="W79" i="16"/>
  <c r="X79" i="16"/>
  <c r="Y79" i="16"/>
  <c r="Z79" i="16"/>
  <c r="AA79" i="16"/>
  <c r="AB79" i="16"/>
  <c r="V78" i="16"/>
  <c r="W78" i="16"/>
  <c r="X78" i="16"/>
  <c r="Y78" i="16"/>
  <c r="Z78" i="16"/>
  <c r="AA78" i="16"/>
  <c r="AB78" i="16"/>
  <c r="V77" i="16"/>
  <c r="W77" i="16"/>
  <c r="X77" i="16"/>
  <c r="Y77" i="16"/>
  <c r="Z77" i="16"/>
  <c r="AA77" i="16"/>
  <c r="AB77" i="16"/>
  <c r="S69" i="16"/>
  <c r="R69" i="16"/>
  <c r="Q69" i="16"/>
  <c r="P69" i="16"/>
  <c r="O69" i="16"/>
  <c r="N69" i="16"/>
  <c r="M69" i="16"/>
  <c r="L69" i="16"/>
  <c r="F22" i="24"/>
  <c r="F44" i="24"/>
  <c r="F39" i="24"/>
  <c r="F40" i="24"/>
  <c r="M44" i="24"/>
  <c r="S85" i="16"/>
  <c r="R85" i="16"/>
  <c r="Q85" i="16"/>
  <c r="P85" i="16"/>
  <c r="O85" i="16"/>
  <c r="N85" i="16"/>
  <c r="M85" i="16"/>
  <c r="L85" i="16"/>
  <c r="O115" i="16"/>
  <c r="O114" i="16"/>
  <c r="R112" i="16"/>
  <c r="R103" i="16"/>
  <c r="R104" i="16"/>
  <c r="R100" i="16"/>
  <c r="R101" i="16"/>
  <c r="R102" i="16"/>
  <c r="R99" i="16"/>
  <c r="R98" i="16"/>
  <c r="R95" i="16"/>
  <c r="R96" i="16"/>
  <c r="R97" i="16"/>
  <c r="R94" i="16"/>
  <c r="Q112" i="16"/>
  <c r="P112" i="16"/>
  <c r="O112" i="16"/>
  <c r="J108" i="16"/>
  <c r="O108" i="16" s="1"/>
  <c r="J107" i="16"/>
  <c r="J106" i="16"/>
  <c r="O106" i="16" s="1"/>
  <c r="J109" i="16"/>
  <c r="O109" i="16" s="1"/>
  <c r="J110" i="16"/>
  <c r="P105" i="16"/>
  <c r="J105" i="16"/>
  <c r="O105" i="16" s="1"/>
  <c r="J104" i="16"/>
  <c r="O104" i="16" s="1"/>
  <c r="J103" i="16"/>
  <c r="O103" i="16" s="1"/>
  <c r="J102" i="16"/>
  <c r="O102" i="16" s="1"/>
  <c r="J101" i="16"/>
  <c r="O101" i="16" s="1"/>
  <c r="J100" i="16"/>
  <c r="O100" i="16" s="1"/>
  <c r="J99" i="16"/>
  <c r="O99" i="16" s="1"/>
  <c r="J97" i="16"/>
  <c r="J95" i="16"/>
  <c r="O95" i="16" s="1"/>
  <c r="J98" i="16"/>
  <c r="O98" i="16" s="1"/>
  <c r="F10" i="13"/>
  <c r="J96" i="16"/>
  <c r="O96" i="16" s="1"/>
  <c r="O97" i="16"/>
  <c r="O107" i="16"/>
  <c r="O110" i="16"/>
  <c r="P110" i="16" s="1"/>
  <c r="J94" i="16"/>
  <c r="O94" i="16"/>
  <c r="C35" i="13"/>
  <c r="C21" i="13"/>
  <c r="M95" i="16"/>
  <c r="M96" i="16"/>
  <c r="M97" i="16"/>
  <c r="M98" i="16"/>
  <c r="M99" i="16"/>
  <c r="M100" i="16"/>
  <c r="M101" i="16"/>
  <c r="M102" i="16"/>
  <c r="M103" i="16"/>
  <c r="M105" i="16"/>
  <c r="M106" i="16"/>
  <c r="M107" i="16"/>
  <c r="M108" i="16"/>
  <c r="M109" i="16"/>
  <c r="M110" i="16"/>
  <c r="M94" i="16"/>
  <c r="E15" i="25" l="1"/>
  <c r="H15" i="25" s="1"/>
  <c r="G15" i="25"/>
  <c r="J15" i="25" s="1"/>
  <c r="P15" i="25"/>
  <c r="R15" i="25" s="1"/>
  <c r="Y15" i="25"/>
  <c r="Z15" i="25" s="1"/>
  <c r="G16" i="25"/>
  <c r="J16" i="25" s="1"/>
  <c r="E17" i="25"/>
  <c r="H17" i="25" s="1"/>
  <c r="P17" i="25"/>
  <c r="R17" i="25" s="1"/>
  <c r="Y17" i="25"/>
  <c r="Z17" i="25" s="1"/>
  <c r="G18" i="25"/>
  <c r="J18" i="25" s="1"/>
  <c r="E19" i="25"/>
  <c r="H19" i="25" s="1"/>
  <c r="O23" i="25"/>
  <c r="Q23" i="25" s="1"/>
  <c r="C26" i="25"/>
  <c r="F25" i="25"/>
  <c r="I25" i="25" s="1"/>
  <c r="O24" i="25"/>
  <c r="Q24" i="25" s="1"/>
  <c r="G26" i="25"/>
  <c r="J26" i="25" s="1"/>
  <c r="D27" i="25"/>
  <c r="AK26" i="25"/>
  <c r="P29" i="25"/>
  <c r="R29" i="25" s="1"/>
  <c r="M32" i="25"/>
  <c r="O31" i="25"/>
  <c r="Q31" i="25" s="1"/>
  <c r="G43" i="25"/>
  <c r="J43" i="25" s="1"/>
  <c r="G42" i="25"/>
  <c r="J42" i="25" s="1"/>
  <c r="G41" i="25"/>
  <c r="J41" i="25" s="1"/>
  <c r="G40" i="25"/>
  <c r="J40" i="25" s="1"/>
  <c r="G39" i="25"/>
  <c r="J39" i="25" s="1"/>
  <c r="G34" i="25"/>
  <c r="J34" i="25" s="1"/>
  <c r="G29" i="25"/>
  <c r="J29" i="25" s="1"/>
  <c r="G24" i="25"/>
  <c r="J24" i="25" s="1"/>
  <c r="F23" i="25"/>
  <c r="I23" i="25" s="1"/>
  <c r="Y22" i="25"/>
  <c r="Z22" i="25" s="1"/>
  <c r="P22" i="25"/>
  <c r="R22" i="25" s="1"/>
  <c r="G22" i="25"/>
  <c r="J22" i="25" s="1"/>
  <c r="E22" i="25"/>
  <c r="H22" i="25" s="1"/>
  <c r="K22" i="25" s="1"/>
  <c r="Y21" i="25"/>
  <c r="Z21" i="25" s="1"/>
  <c r="P21" i="25"/>
  <c r="R21" i="25" s="1"/>
  <c r="G21" i="25"/>
  <c r="J21" i="25" s="1"/>
  <c r="E21" i="25"/>
  <c r="H21" i="25" s="1"/>
  <c r="K21" i="25" s="1"/>
  <c r="Y20" i="25"/>
  <c r="Z20" i="25" s="1"/>
  <c r="P20" i="25"/>
  <c r="R20" i="25" s="1"/>
  <c r="G20" i="25"/>
  <c r="J20" i="25" s="1"/>
  <c r="E20" i="25"/>
  <c r="H20" i="25" s="1"/>
  <c r="K20" i="25" s="1"/>
  <c r="Y19" i="25"/>
  <c r="Z19" i="25" s="1"/>
  <c r="O22" i="25"/>
  <c r="Q22" i="25" s="1"/>
  <c r="S22" i="25" s="1"/>
  <c r="F22" i="25"/>
  <c r="I22" i="25" s="1"/>
  <c r="O21" i="25"/>
  <c r="Q21" i="25" s="1"/>
  <c r="S21" i="25" s="1"/>
  <c r="F21" i="25"/>
  <c r="I21" i="25" s="1"/>
  <c r="O20" i="25"/>
  <c r="Q20" i="25" s="1"/>
  <c r="S20" i="25" s="1"/>
  <c r="F20" i="25"/>
  <c r="I20" i="25" s="1"/>
  <c r="O19" i="25"/>
  <c r="Q19" i="25" s="1"/>
  <c r="S19" i="25" s="1"/>
  <c r="F19" i="25"/>
  <c r="I19" i="25" s="1"/>
  <c r="O18" i="25"/>
  <c r="Q18" i="25" s="1"/>
  <c r="S18" i="25" s="1"/>
  <c r="F18" i="25"/>
  <c r="I18" i="25" s="1"/>
  <c r="O17" i="25"/>
  <c r="Q17" i="25" s="1"/>
  <c r="S17" i="25" s="1"/>
  <c r="F17" i="25"/>
  <c r="I17" i="25" s="1"/>
  <c r="O16" i="25"/>
  <c r="Q16" i="25" s="1"/>
  <c r="S16" i="25" s="1"/>
  <c r="F16" i="25"/>
  <c r="I16" i="25" s="1"/>
  <c r="F15" i="25"/>
  <c r="I15" i="25" s="1"/>
  <c r="O15" i="25"/>
  <c r="Q15" i="25" s="1"/>
  <c r="S15" i="25" s="1"/>
  <c r="E16" i="25"/>
  <c r="H16" i="25" s="1"/>
  <c r="K16" i="25" s="1"/>
  <c r="U16" i="25" s="1"/>
  <c r="P16" i="25"/>
  <c r="R16" i="25" s="1"/>
  <c r="Y16" i="25"/>
  <c r="Z16" i="25" s="1"/>
  <c r="G17" i="25"/>
  <c r="J17" i="25" s="1"/>
  <c r="E18" i="25"/>
  <c r="H18" i="25" s="1"/>
  <c r="K18" i="25" s="1"/>
  <c r="U18" i="25" s="1"/>
  <c r="P18" i="25"/>
  <c r="R18" i="25" s="1"/>
  <c r="Y18" i="25"/>
  <c r="Z18" i="25" s="1"/>
  <c r="G19" i="25"/>
  <c r="J19" i="25" s="1"/>
  <c r="Y23" i="25"/>
  <c r="Z23" i="25" s="1"/>
  <c r="G23" i="25"/>
  <c r="J23" i="25" s="1"/>
  <c r="P23" i="25"/>
  <c r="R23" i="25" s="1"/>
  <c r="P24" i="25"/>
  <c r="R24" i="25" s="1"/>
  <c r="O25" i="25"/>
  <c r="Q25" i="25" s="1"/>
  <c r="AH29" i="25"/>
  <c r="AE28" i="25"/>
  <c r="AF28" i="25"/>
  <c r="AD28" i="25"/>
  <c r="O29" i="25"/>
  <c r="Q29" i="25" s="1"/>
  <c r="S29" i="25" s="1"/>
  <c r="D32" i="25"/>
  <c r="G31" i="25"/>
  <c r="J31" i="25" s="1"/>
  <c r="E23" i="25"/>
  <c r="H23" i="25" s="1"/>
  <c r="K23" i="25" s="1"/>
  <c r="B24" i="25"/>
  <c r="F24" i="25"/>
  <c r="I24" i="25" s="1"/>
  <c r="G25" i="25"/>
  <c r="J25" i="25" s="1"/>
  <c r="N25" i="25"/>
  <c r="M26" i="25"/>
  <c r="AE27" i="25"/>
  <c r="AG27" i="25" s="1"/>
  <c r="AI27" i="25" s="1"/>
  <c r="AJ27" i="25" s="1"/>
  <c r="AK27" i="25" s="1"/>
  <c r="G30" i="25"/>
  <c r="J30" i="25" s="1"/>
  <c r="N30" i="25"/>
  <c r="G35" i="25"/>
  <c r="J35" i="25" s="1"/>
  <c r="D36" i="25"/>
  <c r="N36" i="25"/>
  <c r="P35" i="25"/>
  <c r="R35" i="25" s="1"/>
  <c r="O30" i="25"/>
  <c r="Q30" i="25" s="1"/>
  <c r="M36" i="25"/>
  <c r="O35" i="25"/>
  <c r="Q35" i="25" s="1"/>
  <c r="O34" i="25"/>
  <c r="Q34" i="25" s="1"/>
  <c r="O39" i="25"/>
  <c r="Q39" i="25" s="1"/>
  <c r="P40" i="25"/>
  <c r="R40" i="25" s="1"/>
  <c r="O41" i="25"/>
  <c r="Q41" i="25" s="1"/>
  <c r="P42" i="25"/>
  <c r="R42" i="25" s="1"/>
  <c r="O43" i="25"/>
  <c r="Q43" i="25" s="1"/>
  <c r="P34" i="25"/>
  <c r="R34" i="25" s="1"/>
  <c r="P39" i="25"/>
  <c r="R39" i="25" s="1"/>
  <c r="O40" i="25"/>
  <c r="Q40" i="25" s="1"/>
  <c r="S40" i="25" s="1"/>
  <c r="P41" i="25"/>
  <c r="R41" i="25" s="1"/>
  <c r="O42" i="25"/>
  <c r="Q42" i="25" s="1"/>
  <c r="S42" i="25" s="1"/>
  <c r="P43" i="25"/>
  <c r="R43" i="25" s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15" i="2"/>
  <c r="C24" i="2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23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15" i="2"/>
  <c r="B31" i="2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30" i="2"/>
  <c r="B24" i="2"/>
  <c r="B25" i="2" s="1"/>
  <c r="B26" i="2" s="1"/>
  <c r="B27" i="2" s="1"/>
  <c r="B28" i="2" s="1"/>
  <c r="B29" i="2" s="1"/>
  <c r="B23" i="2"/>
  <c r="X23" i="2"/>
  <c r="H30" i="21"/>
  <c r="H31" i="21"/>
  <c r="H32" i="21"/>
  <c r="H33" i="21"/>
  <c r="H29" i="21"/>
  <c r="E30" i="21"/>
  <c r="I30" i="21" s="1"/>
  <c r="E31" i="21"/>
  <c r="I31" i="21" s="1"/>
  <c r="E32" i="21"/>
  <c r="I32" i="21" s="1"/>
  <c r="E33" i="21"/>
  <c r="I33" i="21" s="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5" i="21"/>
  <c r="G43" i="1"/>
  <c r="H43" i="1" s="1"/>
  <c r="I43" i="1" s="1"/>
  <c r="G44" i="1"/>
  <c r="H44" i="1" s="1"/>
  <c r="I44" i="1" s="1"/>
  <c r="G45" i="1"/>
  <c r="H45" i="1" s="1"/>
  <c r="I45" i="1" s="1"/>
  <c r="G35" i="1"/>
  <c r="G36" i="1"/>
  <c r="G42" i="1"/>
  <c r="H42" i="1"/>
  <c r="I42" i="1" s="1"/>
  <c r="C45" i="1"/>
  <c r="D45" i="1" s="1"/>
  <c r="E45" i="1" s="1"/>
  <c r="C44" i="1"/>
  <c r="D44" i="1" s="1"/>
  <c r="E44" i="1" s="1"/>
  <c r="C43" i="1"/>
  <c r="D43" i="1" s="1"/>
  <c r="E43" i="1" s="1"/>
  <c r="C42" i="1"/>
  <c r="D42" i="1" s="1"/>
  <c r="E42" i="1" s="1"/>
  <c r="X15" i="2"/>
  <c r="S35" i="25" l="1"/>
  <c r="S41" i="25"/>
  <c r="S34" i="25"/>
  <c r="M37" i="25"/>
  <c r="O36" i="25"/>
  <c r="Q36" i="25" s="1"/>
  <c r="D37" i="25"/>
  <c r="G36" i="25"/>
  <c r="J36" i="25" s="1"/>
  <c r="N31" i="25"/>
  <c r="P30" i="25"/>
  <c r="R30" i="25" s="1"/>
  <c r="S30" i="25" s="1"/>
  <c r="N26" i="25"/>
  <c r="P25" i="25"/>
  <c r="R25" i="25" s="1"/>
  <c r="D33" i="25"/>
  <c r="G33" i="25" s="1"/>
  <c r="J33" i="25" s="1"/>
  <c r="G32" i="25"/>
  <c r="J32" i="25" s="1"/>
  <c r="AG28" i="25"/>
  <c r="AI28" i="25" s="1"/>
  <c r="AJ28" i="25" s="1"/>
  <c r="AK28" i="25" s="1"/>
  <c r="D28" i="25"/>
  <c r="G28" i="25" s="1"/>
  <c r="J28" i="25" s="1"/>
  <c r="G27" i="25"/>
  <c r="J27" i="25" s="1"/>
  <c r="S24" i="25"/>
  <c r="C27" i="25"/>
  <c r="F26" i="25"/>
  <c r="I26" i="25" s="1"/>
  <c r="K19" i="25"/>
  <c r="U19" i="25" s="1"/>
  <c r="K17" i="25"/>
  <c r="U17" i="25" s="1"/>
  <c r="S43" i="25"/>
  <c r="S39" i="25"/>
  <c r="N37" i="25"/>
  <c r="P36" i="25"/>
  <c r="R36" i="25" s="1"/>
  <c r="M27" i="25"/>
  <c r="O26" i="25"/>
  <c r="Q26" i="25" s="1"/>
  <c r="B25" i="25"/>
  <c r="E24" i="25"/>
  <c r="H24" i="25" s="1"/>
  <c r="K24" i="25" s="1"/>
  <c r="U24" i="25" s="1"/>
  <c r="X24" i="25"/>
  <c r="Y24" i="25" s="1"/>
  <c r="Z24" i="25" s="1"/>
  <c r="AH30" i="25"/>
  <c r="AF29" i="25"/>
  <c r="AD29" i="25"/>
  <c r="AG29" i="25" s="1"/>
  <c r="AI29" i="25" s="1"/>
  <c r="AJ29" i="25" s="1"/>
  <c r="AK29" i="25" s="1"/>
  <c r="AE29" i="25"/>
  <c r="S25" i="25"/>
  <c r="U20" i="25"/>
  <c r="U21" i="25"/>
  <c r="U22" i="25"/>
  <c r="M33" i="25"/>
  <c r="O33" i="25" s="1"/>
  <c r="Q33" i="25" s="1"/>
  <c r="O32" i="25"/>
  <c r="Q32" i="25" s="1"/>
  <c r="S23" i="25"/>
  <c r="U23" i="25" s="1"/>
  <c r="K15" i="25"/>
  <c r="U15" i="25" s="1"/>
  <c r="S6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5" i="22"/>
  <c r="L15" i="22"/>
  <c r="L16" i="22"/>
  <c r="L17" i="22"/>
  <c r="L18" i="22"/>
  <c r="L19" i="22"/>
  <c r="L20" i="22"/>
  <c r="L14" i="22"/>
  <c r="F15" i="22"/>
  <c r="F16" i="22"/>
  <c r="F17" i="22"/>
  <c r="F18" i="22"/>
  <c r="F19" i="22"/>
  <c r="F20" i="22"/>
  <c r="F14" i="22"/>
  <c r="X25" i="25" l="1"/>
  <c r="Y25" i="25" s="1"/>
  <c r="Z25" i="25" s="1"/>
  <c r="B26" i="25"/>
  <c r="E25" i="25"/>
  <c r="H25" i="25" s="1"/>
  <c r="K25" i="25" s="1"/>
  <c r="U25" i="25" s="1"/>
  <c r="M28" i="25"/>
  <c r="O28" i="25" s="1"/>
  <c r="Q28" i="25" s="1"/>
  <c r="O27" i="25"/>
  <c r="Q27" i="25" s="1"/>
  <c r="N38" i="25"/>
  <c r="P38" i="25" s="1"/>
  <c r="R38" i="25" s="1"/>
  <c r="P37" i="25"/>
  <c r="R37" i="25" s="1"/>
  <c r="S36" i="25"/>
  <c r="AH31" i="25"/>
  <c r="AF30" i="25"/>
  <c r="AD30" i="25"/>
  <c r="AG30" i="25" s="1"/>
  <c r="AI30" i="25" s="1"/>
  <c r="AJ30" i="25" s="1"/>
  <c r="AK30" i="25" s="1"/>
  <c r="AE30" i="25"/>
  <c r="C28" i="25"/>
  <c r="F27" i="25"/>
  <c r="I27" i="25" s="1"/>
  <c r="N27" i="25"/>
  <c r="P26" i="25"/>
  <c r="R26" i="25" s="1"/>
  <c r="S26" i="25" s="1"/>
  <c r="N32" i="25"/>
  <c r="P31" i="25"/>
  <c r="R31" i="25" s="1"/>
  <c r="S31" i="25" s="1"/>
  <c r="G37" i="25"/>
  <c r="J37" i="25" s="1"/>
  <c r="D38" i="25"/>
  <c r="G38" i="25" s="1"/>
  <c r="J38" i="25" s="1"/>
  <c r="M38" i="25"/>
  <c r="O38" i="25" s="1"/>
  <c r="Q38" i="25" s="1"/>
  <c r="O37" i="25"/>
  <c r="Q37" i="25" s="1"/>
  <c r="Q6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5" i="22"/>
  <c r="P6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5" i="22"/>
  <c r="J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5" i="22"/>
  <c r="AD24" i="20"/>
  <c r="AD23" i="20"/>
  <c r="AD22" i="20"/>
  <c r="AG22" i="20" s="1"/>
  <c r="AD21" i="20"/>
  <c r="AD20" i="20"/>
  <c r="AD19" i="20"/>
  <c r="AD18" i="20"/>
  <c r="AD17" i="20"/>
  <c r="Z24" i="20"/>
  <c r="Z23" i="20"/>
  <c r="Z22" i="20"/>
  <c r="Z21" i="20"/>
  <c r="Z20" i="20"/>
  <c r="AG20" i="20" s="1"/>
  <c r="Z19" i="20"/>
  <c r="Z18" i="20"/>
  <c r="Z17" i="20"/>
  <c r="AG23" i="20"/>
  <c r="Y17" i="20"/>
  <c r="Y24" i="20"/>
  <c r="Y23" i="20"/>
  <c r="Y22" i="20"/>
  <c r="Y21" i="20"/>
  <c r="Y20" i="20"/>
  <c r="Y19" i="20"/>
  <c r="AG19" i="20" s="1"/>
  <c r="Y18" i="20"/>
  <c r="AG17" i="20"/>
  <c r="N17" i="20"/>
  <c r="AD10" i="20"/>
  <c r="AD11" i="20"/>
  <c r="AD12" i="20"/>
  <c r="AD13" i="20"/>
  <c r="AD14" i="20"/>
  <c r="AD15" i="20"/>
  <c r="AD16" i="20"/>
  <c r="AD9" i="20"/>
  <c r="Z10" i="20"/>
  <c r="Z11" i="20"/>
  <c r="Z12" i="20"/>
  <c r="Z13" i="20"/>
  <c r="Z14" i="20"/>
  <c r="Z15" i="20"/>
  <c r="Z16" i="20"/>
  <c r="Z9" i="20"/>
  <c r="Y10" i="20"/>
  <c r="Y11" i="20"/>
  <c r="Y12" i="20"/>
  <c r="Y13" i="20"/>
  <c r="Y14" i="20"/>
  <c r="Y15" i="20"/>
  <c r="Y16" i="20"/>
  <c r="Y9" i="20"/>
  <c r="AG10" i="20"/>
  <c r="AG11" i="20"/>
  <c r="AG12" i="20"/>
  <c r="AG13" i="20"/>
  <c r="AG14" i="20"/>
  <c r="AG15" i="20"/>
  <c r="AG16" i="20"/>
  <c r="AG24" i="20"/>
  <c r="AG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9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9" i="20"/>
  <c r="P22" i="24"/>
  <c r="Q22" i="24"/>
  <c r="R22" i="24"/>
  <c r="S22" i="24"/>
  <c r="T22" i="24"/>
  <c r="U22" i="24"/>
  <c r="V22" i="24"/>
  <c r="O22" i="24"/>
  <c r="P24" i="24"/>
  <c r="Q24" i="24"/>
  <c r="R24" i="24"/>
  <c r="S24" i="24"/>
  <c r="T24" i="24"/>
  <c r="U24" i="24"/>
  <c r="V24" i="24"/>
  <c r="O24" i="24"/>
  <c r="F24" i="24"/>
  <c r="P23" i="24"/>
  <c r="Q23" i="24"/>
  <c r="R23" i="24"/>
  <c r="S23" i="24"/>
  <c r="T23" i="24"/>
  <c r="U23" i="24"/>
  <c r="V23" i="24"/>
  <c r="O23" i="24"/>
  <c r="F23" i="24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5" i="22"/>
  <c r="J6" i="22"/>
  <c r="J7" i="22"/>
  <c r="J8" i="22"/>
  <c r="J9" i="22"/>
  <c r="J10" i="22"/>
  <c r="J11" i="22"/>
  <c r="J12" i="22"/>
  <c r="J14" i="22"/>
  <c r="J15" i="22"/>
  <c r="J16" i="22"/>
  <c r="J17" i="22"/>
  <c r="J18" i="22"/>
  <c r="J19" i="22"/>
  <c r="J20" i="22"/>
  <c r="D5" i="22"/>
  <c r="S24" i="20"/>
  <c r="S23" i="20"/>
  <c r="S22" i="20"/>
  <c r="S21" i="20"/>
  <c r="S20" i="20"/>
  <c r="S19" i="20"/>
  <c r="S18" i="20"/>
  <c r="V23" i="20"/>
  <c r="S17" i="20"/>
  <c r="G17" i="20"/>
  <c r="G22" i="24"/>
  <c r="H22" i="24"/>
  <c r="I22" i="24"/>
  <c r="J22" i="24"/>
  <c r="K22" i="24"/>
  <c r="L22" i="24"/>
  <c r="M22" i="24"/>
  <c r="G24" i="24"/>
  <c r="H24" i="24"/>
  <c r="I24" i="24"/>
  <c r="J24" i="24"/>
  <c r="K24" i="24"/>
  <c r="L24" i="24"/>
  <c r="M24" i="24"/>
  <c r="F46" i="24"/>
  <c r="G23" i="24"/>
  <c r="H23" i="24"/>
  <c r="I23" i="24"/>
  <c r="J23" i="24"/>
  <c r="K23" i="24"/>
  <c r="L23" i="24"/>
  <c r="M23" i="24"/>
  <c r="F45" i="24"/>
  <c r="R13" i="24"/>
  <c r="S13" i="24"/>
  <c r="T13" i="24"/>
  <c r="U13" i="24"/>
  <c r="V13" i="24"/>
  <c r="W13" i="24"/>
  <c r="X13" i="24"/>
  <c r="Q13" i="24"/>
  <c r="S10" i="20"/>
  <c r="S11" i="20"/>
  <c r="S12" i="20"/>
  <c r="S13" i="20"/>
  <c r="S14" i="20"/>
  <c r="S15" i="20"/>
  <c r="S16" i="20"/>
  <c r="S9" i="20"/>
  <c r="T24" i="20"/>
  <c r="T23" i="20"/>
  <c r="T22" i="20"/>
  <c r="V22" i="20" s="1"/>
  <c r="T21" i="20"/>
  <c r="V21" i="20" s="1"/>
  <c r="T20" i="20"/>
  <c r="V20" i="20" s="1"/>
  <c r="T19" i="20"/>
  <c r="V19" i="20" s="1"/>
  <c r="T18" i="20"/>
  <c r="V18" i="20" s="1"/>
  <c r="T17" i="20"/>
  <c r="V17" i="20" s="1"/>
  <c r="J13" i="22" s="1"/>
  <c r="H17" i="20"/>
  <c r="H16" i="20"/>
  <c r="T16" i="20" s="1"/>
  <c r="V16" i="20" s="1"/>
  <c r="H15" i="20"/>
  <c r="T15" i="20" s="1"/>
  <c r="V15" i="20" s="1"/>
  <c r="H14" i="20"/>
  <c r="T14" i="20" s="1"/>
  <c r="V14" i="20" s="1"/>
  <c r="H13" i="20"/>
  <c r="H12" i="20"/>
  <c r="T12" i="20" s="1"/>
  <c r="V12" i="20" s="1"/>
  <c r="H11" i="20"/>
  <c r="H10" i="20"/>
  <c r="T10" i="20" s="1"/>
  <c r="V10" i="20" s="1"/>
  <c r="H9" i="20"/>
  <c r="T9" i="20" s="1"/>
  <c r="V9" i="20" s="1"/>
  <c r="H24" i="20"/>
  <c r="H23" i="20"/>
  <c r="H22" i="20"/>
  <c r="H21" i="20"/>
  <c r="H20" i="20"/>
  <c r="H19" i="20"/>
  <c r="H18" i="20"/>
  <c r="T11" i="20"/>
  <c r="V11" i="20" s="1"/>
  <c r="T13" i="20"/>
  <c r="V13" i="20" s="1"/>
  <c r="Q24" i="20"/>
  <c r="Q23" i="20"/>
  <c r="Q22" i="20"/>
  <c r="Q21" i="20"/>
  <c r="Q20" i="20"/>
  <c r="Q19" i="20"/>
  <c r="Q18" i="20"/>
  <c r="Q17" i="20"/>
  <c r="E17" i="20"/>
  <c r="Q10" i="20"/>
  <c r="Q11" i="20"/>
  <c r="Q12" i="20"/>
  <c r="Q13" i="20"/>
  <c r="Q14" i="20"/>
  <c r="Q15" i="20"/>
  <c r="Q16" i="20"/>
  <c r="Q9" i="20"/>
  <c r="P24" i="20"/>
  <c r="P23" i="20"/>
  <c r="P22" i="20"/>
  <c r="P21" i="20"/>
  <c r="P20" i="20"/>
  <c r="P19" i="20"/>
  <c r="P18" i="20"/>
  <c r="P17" i="20"/>
  <c r="D17" i="20"/>
  <c r="P10" i="20"/>
  <c r="P11" i="20"/>
  <c r="P12" i="20"/>
  <c r="P13" i="20"/>
  <c r="P14" i="20"/>
  <c r="P15" i="20"/>
  <c r="P16" i="20"/>
  <c r="P9" i="20"/>
  <c r="O24" i="20"/>
  <c r="O23" i="20"/>
  <c r="O22" i="20"/>
  <c r="O21" i="20"/>
  <c r="O20" i="20"/>
  <c r="O19" i="20"/>
  <c r="O18" i="20"/>
  <c r="O17" i="20"/>
  <c r="N24" i="20"/>
  <c r="N23" i="20"/>
  <c r="N22" i="20"/>
  <c r="N21" i="20"/>
  <c r="N20" i="20"/>
  <c r="N19" i="20"/>
  <c r="N18" i="20"/>
  <c r="B17" i="20"/>
  <c r="O10" i="20"/>
  <c r="O11" i="20"/>
  <c r="O12" i="20"/>
  <c r="O13" i="20"/>
  <c r="O14" i="20"/>
  <c r="O15" i="20"/>
  <c r="O16" i="20"/>
  <c r="O9" i="20"/>
  <c r="N10" i="20"/>
  <c r="N11" i="20"/>
  <c r="N12" i="20"/>
  <c r="N13" i="20"/>
  <c r="N14" i="20"/>
  <c r="N15" i="20"/>
  <c r="N16" i="20"/>
  <c r="N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9" i="20"/>
  <c r="P20" i="24"/>
  <c r="Q20" i="24"/>
  <c r="R20" i="24"/>
  <c r="S20" i="24"/>
  <c r="T20" i="24"/>
  <c r="U20" i="24"/>
  <c r="V20" i="24"/>
  <c r="O20" i="24"/>
  <c r="P19" i="24"/>
  <c r="Q19" i="24"/>
  <c r="R19" i="24"/>
  <c r="S19" i="24"/>
  <c r="T19" i="24"/>
  <c r="U19" i="24"/>
  <c r="V19" i="24"/>
  <c r="O19" i="24"/>
  <c r="F19" i="24"/>
  <c r="P18" i="24"/>
  <c r="Q18" i="24"/>
  <c r="R18" i="24"/>
  <c r="S18" i="24"/>
  <c r="T18" i="24"/>
  <c r="U18" i="24"/>
  <c r="V18" i="24"/>
  <c r="O18" i="24"/>
  <c r="F18" i="24"/>
  <c r="P17" i="24"/>
  <c r="Q17" i="24"/>
  <c r="R17" i="24"/>
  <c r="S17" i="24"/>
  <c r="T17" i="24"/>
  <c r="U17" i="24"/>
  <c r="V17" i="24"/>
  <c r="O17" i="24"/>
  <c r="F17" i="24"/>
  <c r="G20" i="24"/>
  <c r="H20" i="24"/>
  <c r="I20" i="24"/>
  <c r="J20" i="24"/>
  <c r="K20" i="24"/>
  <c r="L20" i="24"/>
  <c r="M20" i="24"/>
  <c r="F20" i="24"/>
  <c r="G19" i="24"/>
  <c r="H19" i="24"/>
  <c r="I19" i="24"/>
  <c r="J19" i="24"/>
  <c r="K19" i="24"/>
  <c r="L19" i="24"/>
  <c r="M19" i="24"/>
  <c r="F41" i="24"/>
  <c r="L18" i="24"/>
  <c r="M17" i="24"/>
  <c r="G18" i="24"/>
  <c r="H18" i="24"/>
  <c r="I18" i="24"/>
  <c r="J18" i="24"/>
  <c r="K18" i="24"/>
  <c r="M18" i="24"/>
  <c r="G17" i="24"/>
  <c r="H17" i="24"/>
  <c r="I17" i="24"/>
  <c r="J17" i="24"/>
  <c r="K17" i="24"/>
  <c r="L17" i="24"/>
  <c r="S37" i="25" l="1"/>
  <c r="S38" i="25"/>
  <c r="N33" i="25"/>
  <c r="P33" i="25" s="1"/>
  <c r="R33" i="25" s="1"/>
  <c r="S33" i="25" s="1"/>
  <c r="P32" i="25"/>
  <c r="R32" i="25" s="1"/>
  <c r="S32" i="25" s="1"/>
  <c r="P27" i="25"/>
  <c r="R27" i="25" s="1"/>
  <c r="N28" i="25"/>
  <c r="P28" i="25" s="1"/>
  <c r="R28" i="25" s="1"/>
  <c r="C29" i="25"/>
  <c r="F28" i="25"/>
  <c r="I28" i="25" s="1"/>
  <c r="S27" i="25"/>
  <c r="AH32" i="25"/>
  <c r="AF31" i="25"/>
  <c r="AD31" i="25"/>
  <c r="AG31" i="25" s="1"/>
  <c r="AI31" i="25" s="1"/>
  <c r="AJ31" i="25" s="1"/>
  <c r="AK31" i="25" s="1"/>
  <c r="AE31" i="25"/>
  <c r="S28" i="25"/>
  <c r="E26" i="25"/>
  <c r="H26" i="25" s="1"/>
  <c r="K26" i="25" s="1"/>
  <c r="U26" i="25" s="1"/>
  <c r="B27" i="25"/>
  <c r="X26" i="25"/>
  <c r="Y26" i="25" s="1"/>
  <c r="Z26" i="25" s="1"/>
  <c r="AG21" i="20"/>
  <c r="AG18" i="20"/>
  <c r="V24" i="20"/>
  <c r="I6" i="22"/>
  <c r="I7" i="22"/>
  <c r="I8" i="22"/>
  <c r="I9" i="22"/>
  <c r="I10" i="22"/>
  <c r="I11" i="22"/>
  <c r="I12" i="22"/>
  <c r="I5" i="22"/>
  <c r="C5" i="22"/>
  <c r="U24" i="19"/>
  <c r="U23" i="19"/>
  <c r="U22" i="19"/>
  <c r="U21" i="19"/>
  <c r="U20" i="19"/>
  <c r="U19" i="19"/>
  <c r="U18" i="19"/>
  <c r="U17" i="19"/>
  <c r="I17" i="19"/>
  <c r="G13" i="24"/>
  <c r="T18" i="19" s="1"/>
  <c r="H13" i="24"/>
  <c r="T19" i="19" s="1"/>
  <c r="I13" i="24"/>
  <c r="T20" i="19" s="1"/>
  <c r="J13" i="24"/>
  <c r="T21" i="19" s="1"/>
  <c r="K13" i="24"/>
  <c r="T22" i="19" s="1"/>
  <c r="L13" i="24"/>
  <c r="T23" i="19" s="1"/>
  <c r="M13" i="24"/>
  <c r="T24" i="19" s="1"/>
  <c r="F13" i="24"/>
  <c r="T17" i="19" s="1"/>
  <c r="S24" i="19"/>
  <c r="S23" i="19"/>
  <c r="S22" i="19"/>
  <c r="S21" i="19"/>
  <c r="S20" i="19"/>
  <c r="S19" i="19"/>
  <c r="S18" i="19"/>
  <c r="S17" i="19"/>
  <c r="G17" i="19"/>
  <c r="Q24" i="19"/>
  <c r="Q23" i="19"/>
  <c r="Q22" i="19"/>
  <c r="Q21" i="19"/>
  <c r="Q20" i="19"/>
  <c r="Q19" i="19"/>
  <c r="Q18" i="19"/>
  <c r="Q17" i="19"/>
  <c r="E17" i="19"/>
  <c r="P24" i="19"/>
  <c r="P23" i="19"/>
  <c r="P22" i="19"/>
  <c r="P21" i="19"/>
  <c r="P20" i="19"/>
  <c r="P19" i="19"/>
  <c r="P18" i="19"/>
  <c r="P17" i="19"/>
  <c r="D17" i="19"/>
  <c r="O24" i="19"/>
  <c r="O23" i="19"/>
  <c r="O22" i="19"/>
  <c r="O21" i="19"/>
  <c r="O20" i="19"/>
  <c r="O19" i="19"/>
  <c r="O18" i="19"/>
  <c r="O17" i="19"/>
  <c r="C17" i="19"/>
  <c r="N17" i="19"/>
  <c r="N24" i="19"/>
  <c r="N23" i="19"/>
  <c r="N22" i="19"/>
  <c r="N21" i="19"/>
  <c r="N20" i="19"/>
  <c r="N19" i="19"/>
  <c r="N18" i="19"/>
  <c r="B17" i="19"/>
  <c r="V10" i="19"/>
  <c r="V11" i="19"/>
  <c r="V12" i="19"/>
  <c r="V13" i="19"/>
  <c r="V14" i="19"/>
  <c r="V15" i="19"/>
  <c r="V16" i="19"/>
  <c r="V9" i="19"/>
  <c r="U10" i="19"/>
  <c r="U11" i="19"/>
  <c r="U12" i="19"/>
  <c r="U13" i="19"/>
  <c r="U14" i="19"/>
  <c r="U15" i="19"/>
  <c r="U16" i="19"/>
  <c r="T10" i="19"/>
  <c r="T11" i="19"/>
  <c r="T12" i="19"/>
  <c r="T13" i="19"/>
  <c r="T14" i="19"/>
  <c r="T15" i="19"/>
  <c r="T16" i="19"/>
  <c r="S10" i="19"/>
  <c r="S11" i="19"/>
  <c r="S12" i="19"/>
  <c r="S13" i="19"/>
  <c r="S14" i="19"/>
  <c r="S15" i="19"/>
  <c r="S16" i="19"/>
  <c r="R10" i="19"/>
  <c r="R11" i="19"/>
  <c r="R12" i="19"/>
  <c r="R13" i="19"/>
  <c r="R14" i="19"/>
  <c r="R15" i="19"/>
  <c r="R16" i="19"/>
  <c r="Q10" i="19"/>
  <c r="Q11" i="19"/>
  <c r="Q12" i="19"/>
  <c r="Q13" i="19"/>
  <c r="Q14" i="19"/>
  <c r="Q15" i="19"/>
  <c r="Q16" i="19"/>
  <c r="P10" i="19"/>
  <c r="P11" i="19"/>
  <c r="P12" i="19"/>
  <c r="P13" i="19"/>
  <c r="P14" i="19"/>
  <c r="P15" i="19"/>
  <c r="P16" i="19"/>
  <c r="O10" i="19"/>
  <c r="O11" i="19"/>
  <c r="O12" i="19"/>
  <c r="O13" i="19"/>
  <c r="O14" i="19"/>
  <c r="O15" i="19"/>
  <c r="O16" i="19"/>
  <c r="N10" i="19"/>
  <c r="N11" i="19"/>
  <c r="N12" i="19"/>
  <c r="N13" i="19"/>
  <c r="N14" i="19"/>
  <c r="N15" i="19"/>
  <c r="N16" i="19"/>
  <c r="U9" i="19"/>
  <c r="T9" i="19"/>
  <c r="S9" i="19"/>
  <c r="R9" i="19"/>
  <c r="Q9" i="19"/>
  <c r="P9" i="19"/>
  <c r="O9" i="19"/>
  <c r="N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9" i="19"/>
  <c r="C39" i="13"/>
  <c r="C37" i="13"/>
  <c r="G46" i="24"/>
  <c r="H46" i="24"/>
  <c r="I46" i="24"/>
  <c r="J46" i="24"/>
  <c r="K46" i="24"/>
  <c r="L46" i="24"/>
  <c r="M46" i="24"/>
  <c r="G45" i="24"/>
  <c r="H45" i="24"/>
  <c r="I45" i="24"/>
  <c r="J45" i="24"/>
  <c r="K45" i="24"/>
  <c r="L45" i="24"/>
  <c r="M45" i="24"/>
  <c r="T38" i="24"/>
  <c r="C36" i="13"/>
  <c r="G21" i="13"/>
  <c r="F21" i="13"/>
  <c r="E21" i="13"/>
  <c r="D21" i="13"/>
  <c r="C39" i="11"/>
  <c r="C35" i="11"/>
  <c r="G35" i="11"/>
  <c r="P31" i="24"/>
  <c r="E24" i="20"/>
  <c r="E23" i="20"/>
  <c r="E22" i="20"/>
  <c r="E21" i="20"/>
  <c r="E20" i="20"/>
  <c r="E19" i="20"/>
  <c r="E18" i="20"/>
  <c r="D24" i="20"/>
  <c r="D23" i="20"/>
  <c r="D22" i="20"/>
  <c r="D21" i="20"/>
  <c r="D20" i="20"/>
  <c r="D19" i="20"/>
  <c r="D18" i="20"/>
  <c r="C6" i="22"/>
  <c r="C7" i="22"/>
  <c r="C8" i="22"/>
  <c r="C9" i="22"/>
  <c r="C10" i="22"/>
  <c r="C11" i="22"/>
  <c r="C12" i="22"/>
  <c r="I24" i="19"/>
  <c r="I23" i="19"/>
  <c r="I22" i="19"/>
  <c r="I21" i="19"/>
  <c r="I20" i="19"/>
  <c r="I19" i="19"/>
  <c r="I18" i="19"/>
  <c r="G24" i="19"/>
  <c r="G23" i="19"/>
  <c r="G22" i="19"/>
  <c r="G21" i="19"/>
  <c r="G20" i="19"/>
  <c r="G19" i="19"/>
  <c r="G18" i="19"/>
  <c r="F17" i="19"/>
  <c r="R17" i="19" s="1"/>
  <c r="F18" i="19"/>
  <c r="R18" i="19" s="1"/>
  <c r="F19" i="19"/>
  <c r="R19" i="19" s="1"/>
  <c r="F20" i="19"/>
  <c r="R20" i="19" s="1"/>
  <c r="F21" i="19"/>
  <c r="R21" i="19" s="1"/>
  <c r="F22" i="19"/>
  <c r="R22" i="19" s="1"/>
  <c r="F23" i="19"/>
  <c r="R23" i="19" s="1"/>
  <c r="F24" i="19"/>
  <c r="R24" i="19" s="1"/>
  <c r="E24" i="19"/>
  <c r="E23" i="19"/>
  <c r="E22" i="19"/>
  <c r="E21" i="19"/>
  <c r="E20" i="19"/>
  <c r="E19" i="19"/>
  <c r="E18" i="19"/>
  <c r="D24" i="19"/>
  <c r="D23" i="19"/>
  <c r="D22" i="19"/>
  <c r="D21" i="19"/>
  <c r="D20" i="19"/>
  <c r="D19" i="19"/>
  <c r="D18" i="19"/>
  <c r="C24" i="19"/>
  <c r="C23" i="19"/>
  <c r="C22" i="19"/>
  <c r="C21" i="19"/>
  <c r="C20" i="19"/>
  <c r="C19" i="19"/>
  <c r="C18" i="19"/>
  <c r="B24" i="19"/>
  <c r="B23" i="19"/>
  <c r="B22" i="19"/>
  <c r="B21" i="19"/>
  <c r="B20" i="19"/>
  <c r="B19" i="19"/>
  <c r="B18" i="19"/>
  <c r="G35" i="24"/>
  <c r="H18" i="19" s="1"/>
  <c r="H35" i="24"/>
  <c r="H19" i="19" s="1"/>
  <c r="I35" i="24"/>
  <c r="H20" i="19" s="1"/>
  <c r="J35" i="24"/>
  <c r="H21" i="19" s="1"/>
  <c r="K35" i="24"/>
  <c r="H22" i="19" s="1"/>
  <c r="L35" i="24"/>
  <c r="H23" i="19" s="1"/>
  <c r="M35" i="24"/>
  <c r="H24" i="19" s="1"/>
  <c r="F35" i="24"/>
  <c r="H17" i="19" s="1"/>
  <c r="H9" i="19"/>
  <c r="C23" i="5"/>
  <c r="C30" i="25" l="1"/>
  <c r="F29" i="25"/>
  <c r="I29" i="25" s="1"/>
  <c r="B28" i="25"/>
  <c r="E27" i="25"/>
  <c r="H27" i="25" s="1"/>
  <c r="K27" i="25" s="1"/>
  <c r="U27" i="25" s="1"/>
  <c r="X27" i="25"/>
  <c r="Y27" i="25" s="1"/>
  <c r="Z27" i="25" s="1"/>
  <c r="AH33" i="25"/>
  <c r="AF32" i="25"/>
  <c r="AD32" i="25"/>
  <c r="AE32" i="25"/>
  <c r="H41" i="24"/>
  <c r="L44" i="24"/>
  <c r="G23" i="20" s="1"/>
  <c r="J44" i="24"/>
  <c r="G21" i="20" s="1"/>
  <c r="H44" i="24"/>
  <c r="G19" i="20" s="1"/>
  <c r="G24" i="20"/>
  <c r="K44" i="24"/>
  <c r="G22" i="20" s="1"/>
  <c r="I44" i="24"/>
  <c r="G20" i="20" s="1"/>
  <c r="G44" i="24"/>
  <c r="G18" i="20" s="1"/>
  <c r="J18" i="19"/>
  <c r="C14" i="22" s="1"/>
  <c r="J20" i="19"/>
  <c r="C16" i="22" s="1"/>
  <c r="V17" i="19"/>
  <c r="I13" i="22" s="1"/>
  <c r="V23" i="19"/>
  <c r="I19" i="22" s="1"/>
  <c r="V20" i="19"/>
  <c r="I16" i="22" s="1"/>
  <c r="V24" i="19"/>
  <c r="I20" i="22" s="1"/>
  <c r="V22" i="19"/>
  <c r="I18" i="22" s="1"/>
  <c r="V18" i="19"/>
  <c r="I14" i="22" s="1"/>
  <c r="V21" i="19"/>
  <c r="I17" i="22" s="1"/>
  <c r="V19" i="19"/>
  <c r="I15" i="22" s="1"/>
  <c r="J19" i="19"/>
  <c r="C15" i="22" s="1"/>
  <c r="J21" i="19"/>
  <c r="C17" i="22" s="1"/>
  <c r="J23" i="19"/>
  <c r="C19" i="22" s="1"/>
  <c r="J17" i="19"/>
  <c r="C13" i="22" s="1"/>
  <c r="J22" i="19"/>
  <c r="C18" i="22" s="1"/>
  <c r="J24" i="19"/>
  <c r="C20" i="22" s="1"/>
  <c r="M39" i="24"/>
  <c r="B24" i="20" s="1"/>
  <c r="K39" i="24"/>
  <c r="B22" i="20" s="1"/>
  <c r="I39" i="24"/>
  <c r="B20" i="20" s="1"/>
  <c r="G39" i="24"/>
  <c r="B18" i="20" s="1"/>
  <c r="L40" i="24"/>
  <c r="J40" i="24"/>
  <c r="H40" i="24"/>
  <c r="H42" i="24" s="1"/>
  <c r="C19" i="20" s="1"/>
  <c r="M41" i="24"/>
  <c r="K41" i="24"/>
  <c r="I41" i="24"/>
  <c r="G41" i="24"/>
  <c r="L39" i="24"/>
  <c r="B23" i="20" s="1"/>
  <c r="J39" i="24"/>
  <c r="B21" i="20" s="1"/>
  <c r="H39" i="24"/>
  <c r="B19" i="20" s="1"/>
  <c r="J19" i="20" s="1"/>
  <c r="D15" i="22" s="1"/>
  <c r="M40" i="24"/>
  <c r="K40" i="24"/>
  <c r="K42" i="24" s="1"/>
  <c r="C22" i="20" s="1"/>
  <c r="I40" i="24"/>
  <c r="G40" i="24"/>
  <c r="G42" i="24" s="1"/>
  <c r="C18" i="20" s="1"/>
  <c r="L41" i="24"/>
  <c r="J41" i="24"/>
  <c r="H6" i="22"/>
  <c r="K6" i="22" s="1"/>
  <c r="H7" i="22"/>
  <c r="K7" i="22" s="1"/>
  <c r="H8" i="22"/>
  <c r="K8" i="22" s="1"/>
  <c r="H9" i="22"/>
  <c r="K9" i="22" s="1"/>
  <c r="H10" i="22"/>
  <c r="K10" i="22" s="1"/>
  <c r="H11" i="22"/>
  <c r="K11" i="22" s="1"/>
  <c r="H12" i="22"/>
  <c r="K12" i="22" s="1"/>
  <c r="H5" i="22"/>
  <c r="K5" i="22" s="1"/>
  <c r="B5" i="22"/>
  <c r="R23" i="17"/>
  <c r="R22" i="17"/>
  <c r="R21" i="17"/>
  <c r="R20" i="17"/>
  <c r="R19" i="17"/>
  <c r="R18" i="17"/>
  <c r="R17" i="17"/>
  <c r="R16" i="17"/>
  <c r="H16" i="17"/>
  <c r="Q23" i="17"/>
  <c r="Q22" i="17"/>
  <c r="Q21" i="17"/>
  <c r="Q20" i="17"/>
  <c r="Q19" i="17"/>
  <c r="Q18" i="17"/>
  <c r="Q17" i="17"/>
  <c r="Q16" i="17"/>
  <c r="G16" i="17"/>
  <c r="O23" i="17"/>
  <c r="O22" i="17"/>
  <c r="O21" i="17"/>
  <c r="O20" i="17"/>
  <c r="O19" i="17"/>
  <c r="O18" i="17"/>
  <c r="O17" i="17"/>
  <c r="O16" i="17"/>
  <c r="E16" i="17"/>
  <c r="N23" i="17"/>
  <c r="N22" i="17"/>
  <c r="N21" i="17"/>
  <c r="N20" i="17"/>
  <c r="N19" i="17"/>
  <c r="N18" i="17"/>
  <c r="N17" i="17"/>
  <c r="N16" i="17"/>
  <c r="D16" i="17"/>
  <c r="M23" i="17"/>
  <c r="M22" i="17"/>
  <c r="M21" i="17"/>
  <c r="M20" i="17"/>
  <c r="M19" i="17"/>
  <c r="M18" i="17"/>
  <c r="M17" i="17"/>
  <c r="M16" i="17"/>
  <c r="C16" i="17"/>
  <c r="L23" i="17"/>
  <c r="L22" i="17"/>
  <c r="L21" i="17"/>
  <c r="L20" i="17"/>
  <c r="L19" i="17"/>
  <c r="L18" i="17"/>
  <c r="L17" i="17"/>
  <c r="L16" i="17"/>
  <c r="B16" i="17"/>
  <c r="K17" i="17"/>
  <c r="K18" i="17"/>
  <c r="K19" i="17"/>
  <c r="K20" i="17"/>
  <c r="K21" i="17"/>
  <c r="K22" i="17"/>
  <c r="K23" i="17"/>
  <c r="K16" i="17"/>
  <c r="R9" i="17"/>
  <c r="R10" i="17"/>
  <c r="R11" i="17"/>
  <c r="R12" i="17"/>
  <c r="R13" i="17"/>
  <c r="R14" i="17"/>
  <c r="R15" i="17"/>
  <c r="Q9" i="17"/>
  <c r="Q10" i="17"/>
  <c r="Q11" i="17"/>
  <c r="Q12" i="17"/>
  <c r="Q13" i="17"/>
  <c r="Q14" i="17"/>
  <c r="Q15" i="17"/>
  <c r="P9" i="17"/>
  <c r="P10" i="17"/>
  <c r="P11" i="17"/>
  <c r="P12" i="17"/>
  <c r="P13" i="17"/>
  <c r="P14" i="17"/>
  <c r="P15" i="17"/>
  <c r="O9" i="17"/>
  <c r="O10" i="17"/>
  <c r="O11" i="17"/>
  <c r="O12" i="17"/>
  <c r="O13" i="17"/>
  <c r="O14" i="17"/>
  <c r="O15" i="17"/>
  <c r="N9" i="17"/>
  <c r="N10" i="17"/>
  <c r="N11" i="17"/>
  <c r="N12" i="17"/>
  <c r="N13" i="17"/>
  <c r="N14" i="17"/>
  <c r="N15" i="17"/>
  <c r="M9" i="17"/>
  <c r="M10" i="17"/>
  <c r="M11" i="17"/>
  <c r="M12" i="17"/>
  <c r="M13" i="17"/>
  <c r="M14" i="17"/>
  <c r="M15" i="17"/>
  <c r="R8" i="17"/>
  <c r="Q8" i="17"/>
  <c r="P8" i="17"/>
  <c r="O8" i="17"/>
  <c r="N8" i="17"/>
  <c r="M8" i="17"/>
  <c r="L9" i="17"/>
  <c r="L10" i="17"/>
  <c r="L11" i="17"/>
  <c r="L12" i="17"/>
  <c r="L13" i="17"/>
  <c r="L14" i="17"/>
  <c r="L15" i="17"/>
  <c r="L8" i="17"/>
  <c r="S15" i="17"/>
  <c r="S14" i="17"/>
  <c r="S13" i="17"/>
  <c r="S12" i="17"/>
  <c r="S11" i="17"/>
  <c r="S10" i="17"/>
  <c r="S9" i="17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5" i="22"/>
  <c r="B6" i="22"/>
  <c r="B7" i="22"/>
  <c r="B8" i="22"/>
  <c r="B9" i="22"/>
  <c r="B10" i="22"/>
  <c r="B11" i="22"/>
  <c r="B12" i="22"/>
  <c r="H23" i="17"/>
  <c r="H22" i="17"/>
  <c r="H21" i="17"/>
  <c r="H20" i="17"/>
  <c r="H19" i="17"/>
  <c r="H18" i="17"/>
  <c r="H17" i="17"/>
  <c r="H15" i="17"/>
  <c r="G23" i="17"/>
  <c r="G22" i="17"/>
  <c r="G21" i="17"/>
  <c r="G20" i="17"/>
  <c r="G19" i="17"/>
  <c r="G18" i="17"/>
  <c r="G17" i="17"/>
  <c r="G15" i="17"/>
  <c r="F23" i="17"/>
  <c r="P23" i="17" s="1"/>
  <c r="F22" i="17"/>
  <c r="P22" i="17" s="1"/>
  <c r="F21" i="17"/>
  <c r="P21" i="17" s="1"/>
  <c r="F20" i="17"/>
  <c r="P20" i="17" s="1"/>
  <c r="F19" i="17"/>
  <c r="P19" i="17" s="1"/>
  <c r="F18" i="17"/>
  <c r="P18" i="17" s="1"/>
  <c r="F17" i="17"/>
  <c r="P17" i="17" s="1"/>
  <c r="F16" i="17"/>
  <c r="P16" i="17" s="1"/>
  <c r="E23" i="17"/>
  <c r="E22" i="17"/>
  <c r="E21" i="17"/>
  <c r="E20" i="17"/>
  <c r="E19" i="17"/>
  <c r="E18" i="17"/>
  <c r="E17" i="17"/>
  <c r="E15" i="17"/>
  <c r="D23" i="17"/>
  <c r="D22" i="17"/>
  <c r="D21" i="17"/>
  <c r="D20" i="17"/>
  <c r="D19" i="17"/>
  <c r="D18" i="17"/>
  <c r="D17" i="17"/>
  <c r="D15" i="17"/>
  <c r="C23" i="17"/>
  <c r="C22" i="17"/>
  <c r="C21" i="17"/>
  <c r="C20" i="17"/>
  <c r="C19" i="17"/>
  <c r="C18" i="17"/>
  <c r="C17" i="17"/>
  <c r="C15" i="17"/>
  <c r="J5" i="5"/>
  <c r="J7" i="5"/>
  <c r="B23" i="17"/>
  <c r="I23" i="17" s="1"/>
  <c r="B20" i="22" s="1"/>
  <c r="B22" i="17"/>
  <c r="I22" i="17" s="1"/>
  <c r="B19" i="22" s="1"/>
  <c r="B21" i="17"/>
  <c r="I21" i="17" s="1"/>
  <c r="B18" i="22" s="1"/>
  <c r="B20" i="17"/>
  <c r="I20" i="17" s="1"/>
  <c r="B17" i="22" s="1"/>
  <c r="B19" i="17"/>
  <c r="I19" i="17" s="1"/>
  <c r="B16" i="22" s="1"/>
  <c r="B18" i="17"/>
  <c r="I18" i="17" s="1"/>
  <c r="B15" i="22" s="1"/>
  <c r="B17" i="17"/>
  <c r="I17" i="17" s="1"/>
  <c r="B14" i="22" s="1"/>
  <c r="B15" i="17"/>
  <c r="N68" i="23"/>
  <c r="M68" i="23"/>
  <c r="L68" i="23"/>
  <c r="K68" i="23"/>
  <c r="J68" i="23"/>
  <c r="I68" i="23"/>
  <c r="H68" i="23"/>
  <c r="G68" i="23"/>
  <c r="F68" i="23"/>
  <c r="E68" i="23"/>
  <c r="N54" i="23"/>
  <c r="M54" i="23"/>
  <c r="L54" i="23"/>
  <c r="K54" i="23"/>
  <c r="J54" i="23"/>
  <c r="I54" i="23"/>
  <c r="H54" i="23"/>
  <c r="G54" i="23"/>
  <c r="F54" i="23"/>
  <c r="E54" i="23"/>
  <c r="N39" i="23"/>
  <c r="M39" i="23"/>
  <c r="L39" i="23"/>
  <c r="K39" i="23"/>
  <c r="J39" i="23"/>
  <c r="I39" i="23"/>
  <c r="H39" i="23"/>
  <c r="G39" i="23"/>
  <c r="F39" i="23"/>
  <c r="E39" i="23"/>
  <c r="N25" i="23"/>
  <c r="M25" i="23"/>
  <c r="L25" i="23"/>
  <c r="K25" i="23"/>
  <c r="J25" i="23"/>
  <c r="I25" i="23"/>
  <c r="H25" i="23"/>
  <c r="G25" i="23"/>
  <c r="F25" i="23"/>
  <c r="E25" i="23"/>
  <c r="N12" i="23"/>
  <c r="M12" i="23"/>
  <c r="L12" i="23"/>
  <c r="K12" i="23"/>
  <c r="J12" i="23"/>
  <c r="I12" i="23"/>
  <c r="H12" i="23"/>
  <c r="G12" i="23"/>
  <c r="F12" i="23"/>
  <c r="E12" i="23"/>
  <c r="AG32" i="25" l="1"/>
  <c r="AI32" i="25" s="1"/>
  <c r="AJ32" i="25" s="1"/>
  <c r="AK32" i="25" s="1"/>
  <c r="AE33" i="25"/>
  <c r="AH34" i="25"/>
  <c r="AF33" i="25"/>
  <c r="AD33" i="25"/>
  <c r="AG33" i="25" s="1"/>
  <c r="AI33" i="25" s="1"/>
  <c r="AJ33" i="25" s="1"/>
  <c r="AK33" i="25" s="1"/>
  <c r="X28" i="25"/>
  <c r="Y28" i="25" s="1"/>
  <c r="Z28" i="25" s="1"/>
  <c r="B29" i="25"/>
  <c r="E28" i="25"/>
  <c r="H28" i="25" s="1"/>
  <c r="K28" i="25" s="1"/>
  <c r="U28" i="25" s="1"/>
  <c r="F30" i="25"/>
  <c r="I30" i="25" s="1"/>
  <c r="C31" i="25"/>
  <c r="E15" i="22"/>
  <c r="L42" i="24"/>
  <c r="C23" i="20" s="1"/>
  <c r="J23" i="20" s="1"/>
  <c r="D19" i="22" s="1"/>
  <c r="E19" i="22" s="1"/>
  <c r="J18" i="20"/>
  <c r="D14" i="22" s="1"/>
  <c r="J22" i="20"/>
  <c r="D18" i="22" s="1"/>
  <c r="E18" i="22" s="1"/>
  <c r="E14" i="22"/>
  <c r="I42" i="24"/>
  <c r="C20" i="20" s="1"/>
  <c r="J20" i="20" s="1"/>
  <c r="D16" i="22" s="1"/>
  <c r="E16" i="22" s="1"/>
  <c r="M42" i="24"/>
  <c r="C24" i="20" s="1"/>
  <c r="F42" i="24"/>
  <c r="C17" i="20" s="1"/>
  <c r="J42" i="24"/>
  <c r="C21" i="20" s="1"/>
  <c r="J21" i="20" s="1"/>
  <c r="D17" i="22" s="1"/>
  <c r="E17" i="22" s="1"/>
  <c r="J17" i="20"/>
  <c r="D13" i="22" s="1"/>
  <c r="J24" i="20"/>
  <c r="D20" i="22" s="1"/>
  <c r="E20" i="22" s="1"/>
  <c r="S16" i="17"/>
  <c r="H13" i="22" s="1"/>
  <c r="K13" i="22" s="1"/>
  <c r="S18" i="17"/>
  <c r="H15" i="22" s="1"/>
  <c r="K15" i="22" s="1"/>
  <c r="S20" i="17"/>
  <c r="H17" i="22" s="1"/>
  <c r="K17" i="22" s="1"/>
  <c r="S22" i="17"/>
  <c r="H19" i="22" s="1"/>
  <c r="K19" i="22" s="1"/>
  <c r="S17" i="17"/>
  <c r="H14" i="22" s="1"/>
  <c r="K14" i="22" s="1"/>
  <c r="S19" i="17"/>
  <c r="H16" i="22" s="1"/>
  <c r="K16" i="22" s="1"/>
  <c r="S21" i="17"/>
  <c r="H18" i="22" s="1"/>
  <c r="K18" i="22" s="1"/>
  <c r="S23" i="17"/>
  <c r="H20" i="22" s="1"/>
  <c r="K20" i="22" s="1"/>
  <c r="I16" i="17"/>
  <c r="B13" i="22" s="1"/>
  <c r="S8" i="17"/>
  <c r="G31" i="1"/>
  <c r="C27" i="1"/>
  <c r="C26" i="1"/>
  <c r="F31" i="25" l="1"/>
  <c r="I31" i="25" s="1"/>
  <c r="C32" i="25"/>
  <c r="B30" i="25"/>
  <c r="E29" i="25"/>
  <c r="H29" i="25" s="1"/>
  <c r="K29" i="25" s="1"/>
  <c r="U29" i="25" s="1"/>
  <c r="X29" i="25"/>
  <c r="Y29" i="25" s="1"/>
  <c r="Z29" i="25" s="1"/>
  <c r="AE34" i="25"/>
  <c r="AH35" i="25"/>
  <c r="AF34" i="25"/>
  <c r="AD34" i="25"/>
  <c r="AG34" i="25" s="1"/>
  <c r="AI34" i="25" s="1"/>
  <c r="AJ34" i="25" s="1"/>
  <c r="AK34" i="25" s="1"/>
  <c r="E13" i="22"/>
  <c r="M19" i="3"/>
  <c r="M20" i="3"/>
  <c r="M21" i="3"/>
  <c r="M22" i="3"/>
  <c r="M23" i="3"/>
  <c r="M24" i="3"/>
  <c r="M25" i="3"/>
  <c r="M26" i="3"/>
  <c r="M27" i="3"/>
  <c r="M28" i="3"/>
  <c r="M18" i="3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26" i="2"/>
  <c r="G15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26" i="2"/>
  <c r="B31" i="25" l="1"/>
  <c r="X30" i="25"/>
  <c r="Y30" i="25" s="1"/>
  <c r="Z30" i="25" s="1"/>
  <c r="E30" i="25"/>
  <c r="H30" i="25" s="1"/>
  <c r="K30" i="25" s="1"/>
  <c r="U30" i="25" s="1"/>
  <c r="F32" i="25"/>
  <c r="I32" i="25" s="1"/>
  <c r="C33" i="25"/>
  <c r="AE35" i="25"/>
  <c r="AH36" i="25"/>
  <c r="AF35" i="25"/>
  <c r="AD35" i="25"/>
  <c r="AG35" i="25" s="1"/>
  <c r="AI35" i="25" s="1"/>
  <c r="AJ35" i="25" s="1"/>
  <c r="AK35" i="25" s="1"/>
  <c r="N26" i="3"/>
  <c r="O26" i="3" s="1"/>
  <c r="N24" i="3"/>
  <c r="O24" i="3" s="1"/>
  <c r="N22" i="3"/>
  <c r="O22" i="3" s="1"/>
  <c r="N20" i="3"/>
  <c r="O20" i="3" s="1"/>
  <c r="N18" i="3"/>
  <c r="O18" i="3" s="1"/>
  <c r="N25" i="3"/>
  <c r="O25" i="3" s="1"/>
  <c r="N23" i="3"/>
  <c r="O23" i="3" s="1"/>
  <c r="N21" i="3"/>
  <c r="O21" i="3" s="1"/>
  <c r="N19" i="3"/>
  <c r="O19" i="3" s="1"/>
  <c r="E18" i="3"/>
  <c r="F18" i="3" s="1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26" i="2"/>
  <c r="AG26" i="2" s="1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26" i="2"/>
  <c r="AH27" i="2"/>
  <c r="AH28" i="2" s="1"/>
  <c r="AH29" i="2" s="1"/>
  <c r="AH30" i="2" s="1"/>
  <c r="AH31" i="2" s="1"/>
  <c r="AH32" i="2" s="1"/>
  <c r="AH33" i="2" s="1"/>
  <c r="AH34" i="2" s="1"/>
  <c r="AH35" i="2" s="1"/>
  <c r="AH36" i="2" s="1"/>
  <c r="AH37" i="2" s="1"/>
  <c r="AH38" i="2" s="1"/>
  <c r="AH39" i="2" s="1"/>
  <c r="AG27" i="2"/>
  <c r="AG28" i="2"/>
  <c r="AG29" i="2"/>
  <c r="AG30" i="2"/>
  <c r="AG31" i="2"/>
  <c r="AG32" i="2"/>
  <c r="AG33" i="2"/>
  <c r="AG34" i="2"/>
  <c r="AG35" i="2"/>
  <c r="AG36" i="2"/>
  <c r="AG37" i="2"/>
  <c r="AG38" i="2"/>
  <c r="AH37" i="25" l="1"/>
  <c r="AE36" i="25"/>
  <c r="AF36" i="25"/>
  <c r="AD36" i="25"/>
  <c r="C34" i="25"/>
  <c r="F33" i="25"/>
  <c r="I33" i="25" s="1"/>
  <c r="B32" i="25"/>
  <c r="X31" i="25"/>
  <c r="Y31" i="25" s="1"/>
  <c r="Z31" i="25" s="1"/>
  <c r="E31" i="25"/>
  <c r="H31" i="25" s="1"/>
  <c r="K31" i="25" s="1"/>
  <c r="U31" i="25" s="1"/>
  <c r="Z16" i="2"/>
  <c r="Z17" i="2"/>
  <c r="Z18" i="2"/>
  <c r="Z19" i="2"/>
  <c r="Z20" i="2"/>
  <c r="Z21" i="2"/>
  <c r="Z22" i="2"/>
  <c r="Z15" i="2"/>
  <c r="H15" i="2"/>
  <c r="Y16" i="2"/>
  <c r="Y17" i="2"/>
  <c r="Y18" i="2"/>
  <c r="Y19" i="2"/>
  <c r="Y20" i="2"/>
  <c r="Y21" i="2"/>
  <c r="Y22" i="2"/>
  <c r="Y23" i="2"/>
  <c r="Z23" i="2" s="1"/>
  <c r="Y15" i="2"/>
  <c r="X16" i="2"/>
  <c r="X17" i="2"/>
  <c r="X18" i="2"/>
  <c r="X19" i="2"/>
  <c r="X20" i="2"/>
  <c r="X21" i="2"/>
  <c r="X22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W34" i="2"/>
  <c r="W35" i="2" s="1"/>
  <c r="W36" i="2" s="1"/>
  <c r="W37" i="2" s="1"/>
  <c r="W38" i="2" s="1"/>
  <c r="W39" i="2" s="1"/>
  <c r="W31" i="2"/>
  <c r="W32" i="2" s="1"/>
  <c r="W33" i="2" s="1"/>
  <c r="W30" i="2"/>
  <c r="P23" i="2"/>
  <c r="R23" i="2" s="1"/>
  <c r="P24" i="2"/>
  <c r="R24" i="2" s="1"/>
  <c r="P25" i="2"/>
  <c r="R25" i="2" s="1"/>
  <c r="P26" i="2"/>
  <c r="R26" i="2" s="1"/>
  <c r="P27" i="2"/>
  <c r="R27" i="2" s="1"/>
  <c r="P28" i="2"/>
  <c r="R28" i="2" s="1"/>
  <c r="P29" i="2"/>
  <c r="R29" i="2" s="1"/>
  <c r="P30" i="2"/>
  <c r="R30" i="2" s="1"/>
  <c r="P31" i="2"/>
  <c r="R31" i="2" s="1"/>
  <c r="P32" i="2"/>
  <c r="R32" i="2" s="1"/>
  <c r="P33" i="2"/>
  <c r="R33" i="2" s="1"/>
  <c r="P34" i="2"/>
  <c r="R34" i="2" s="1"/>
  <c r="P35" i="2"/>
  <c r="R35" i="2" s="1"/>
  <c r="P36" i="2"/>
  <c r="R36" i="2" s="1"/>
  <c r="P37" i="2"/>
  <c r="R37" i="2" s="1"/>
  <c r="P38" i="2"/>
  <c r="R38" i="2" s="1"/>
  <c r="P39" i="2"/>
  <c r="R39" i="2" s="1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B33" i="25" l="1"/>
  <c r="X32" i="25"/>
  <c r="Y32" i="25" s="1"/>
  <c r="Z32" i="25" s="1"/>
  <c r="E32" i="25"/>
  <c r="H32" i="25" s="1"/>
  <c r="K32" i="25" s="1"/>
  <c r="U32" i="25" s="1"/>
  <c r="AG36" i="25"/>
  <c r="AI36" i="25" s="1"/>
  <c r="AJ36" i="25" s="1"/>
  <c r="AK36" i="25" s="1"/>
  <c r="C35" i="25"/>
  <c r="F34" i="25"/>
  <c r="I34" i="25" s="1"/>
  <c r="AE37" i="25"/>
  <c r="AH38" i="25"/>
  <c r="AF37" i="25"/>
  <c r="AD37" i="25"/>
  <c r="S39" i="2"/>
  <c r="S34" i="2"/>
  <c r="S29" i="2"/>
  <c r="S24" i="2"/>
  <c r="S38" i="2"/>
  <c r="S36" i="2"/>
  <c r="S37" i="2"/>
  <c r="S35" i="2"/>
  <c r="S32" i="2"/>
  <c r="S30" i="2"/>
  <c r="S33" i="2"/>
  <c r="S31" i="2"/>
  <c r="S28" i="2"/>
  <c r="S26" i="2"/>
  <c r="S27" i="2"/>
  <c r="S25" i="2"/>
  <c r="S23" i="2"/>
  <c r="N42" i="3"/>
  <c r="O42" i="3" s="1"/>
  <c r="N40" i="3"/>
  <c r="O40" i="3" s="1"/>
  <c r="N38" i="3"/>
  <c r="O38" i="3" s="1"/>
  <c r="N36" i="3"/>
  <c r="O36" i="3" s="1"/>
  <c r="N34" i="3"/>
  <c r="O34" i="3" s="1"/>
  <c r="Y39" i="2"/>
  <c r="Z39" i="2" s="1"/>
  <c r="Y37" i="2"/>
  <c r="Z37" i="2" s="1"/>
  <c r="Y35" i="2"/>
  <c r="Z35" i="2" s="1"/>
  <c r="Y33" i="2"/>
  <c r="Z33" i="2" s="1"/>
  <c r="Y31" i="2"/>
  <c r="Z31" i="2" s="1"/>
  <c r="N41" i="3"/>
  <c r="O41" i="3" s="1"/>
  <c r="N39" i="3"/>
  <c r="O39" i="3" s="1"/>
  <c r="N37" i="3"/>
  <c r="O37" i="3" s="1"/>
  <c r="N35" i="3"/>
  <c r="O35" i="3" s="1"/>
  <c r="Y38" i="2"/>
  <c r="Z38" i="2" s="1"/>
  <c r="Y36" i="2"/>
  <c r="Z36" i="2" s="1"/>
  <c r="Y34" i="2"/>
  <c r="Z34" i="2" s="1"/>
  <c r="Y32" i="2"/>
  <c r="Z32" i="2" s="1"/>
  <c r="N33" i="3"/>
  <c r="O33" i="3" s="1"/>
  <c r="Y30" i="2"/>
  <c r="Z30" i="2" s="1"/>
  <c r="N31" i="3"/>
  <c r="O31" i="3" s="1"/>
  <c r="N29" i="3"/>
  <c r="O29" i="3" s="1"/>
  <c r="N27" i="3"/>
  <c r="O27" i="3" s="1"/>
  <c r="Y28" i="2"/>
  <c r="Z28" i="2" s="1"/>
  <c r="Y26" i="2"/>
  <c r="Z26" i="2" s="1"/>
  <c r="Y24" i="2"/>
  <c r="Z24" i="2" s="1"/>
  <c r="N32" i="3"/>
  <c r="O32" i="3" s="1"/>
  <c r="N30" i="3"/>
  <c r="O30" i="3" s="1"/>
  <c r="N28" i="3"/>
  <c r="O28" i="3" s="1"/>
  <c r="Y29" i="2"/>
  <c r="Z29" i="2" s="1"/>
  <c r="Y27" i="2"/>
  <c r="Z27" i="2" s="1"/>
  <c r="Y25" i="2"/>
  <c r="Z25" i="2" s="1"/>
  <c r="M5" i="21"/>
  <c r="L19" i="3"/>
  <c r="P19" i="3" s="1"/>
  <c r="Q19" i="3" s="1"/>
  <c r="R19" i="3" s="1"/>
  <c r="L20" i="3"/>
  <c r="P20" i="3" s="1"/>
  <c r="Q20" i="3" s="1"/>
  <c r="R20" i="3" s="1"/>
  <c r="L21" i="3"/>
  <c r="P21" i="3" s="1"/>
  <c r="Q21" i="3" s="1"/>
  <c r="R21" i="3" s="1"/>
  <c r="L22" i="3"/>
  <c r="P22" i="3" s="1"/>
  <c r="Q22" i="3" s="1"/>
  <c r="R22" i="3" s="1"/>
  <c r="L23" i="3"/>
  <c r="P23" i="3" s="1"/>
  <c r="Q23" i="3" s="1"/>
  <c r="R23" i="3" s="1"/>
  <c r="L24" i="3"/>
  <c r="P24" i="3" s="1"/>
  <c r="Q24" i="3" s="1"/>
  <c r="R24" i="3" s="1"/>
  <c r="L25" i="3"/>
  <c r="P25" i="3" s="1"/>
  <c r="Q25" i="3" s="1"/>
  <c r="R25" i="3" s="1"/>
  <c r="L26" i="3"/>
  <c r="P26" i="3" s="1"/>
  <c r="Q26" i="3" s="1"/>
  <c r="R26" i="3" s="1"/>
  <c r="L27" i="3"/>
  <c r="P27" i="3" s="1"/>
  <c r="Q27" i="3" s="1"/>
  <c r="L28" i="3"/>
  <c r="P28" i="3" s="1"/>
  <c r="Q28" i="3" s="1"/>
  <c r="L29" i="3"/>
  <c r="P29" i="3" s="1"/>
  <c r="Q29" i="3" s="1"/>
  <c r="L30" i="3"/>
  <c r="P30" i="3" s="1"/>
  <c r="Q30" i="3" s="1"/>
  <c r="L31" i="3"/>
  <c r="P31" i="3" s="1"/>
  <c r="Q31" i="3" s="1"/>
  <c r="L32" i="3"/>
  <c r="P32" i="3" s="1"/>
  <c r="Q32" i="3" s="1"/>
  <c r="L33" i="3"/>
  <c r="P33" i="3" s="1"/>
  <c r="Q33" i="3" s="1"/>
  <c r="L34" i="3"/>
  <c r="P34" i="3" s="1"/>
  <c r="Q34" i="3" s="1"/>
  <c r="L35" i="3"/>
  <c r="P35" i="3" s="1"/>
  <c r="Q35" i="3" s="1"/>
  <c r="L36" i="3"/>
  <c r="P36" i="3" s="1"/>
  <c r="Q36" i="3" s="1"/>
  <c r="L37" i="3"/>
  <c r="P37" i="3" s="1"/>
  <c r="Q37" i="3" s="1"/>
  <c r="L38" i="3"/>
  <c r="P38" i="3" s="1"/>
  <c r="Q38" i="3" s="1"/>
  <c r="L39" i="3"/>
  <c r="P39" i="3" s="1"/>
  <c r="Q39" i="3" s="1"/>
  <c r="L40" i="3"/>
  <c r="P40" i="3" s="1"/>
  <c r="Q40" i="3" s="1"/>
  <c r="L41" i="3"/>
  <c r="P41" i="3" s="1"/>
  <c r="Q41" i="3" s="1"/>
  <c r="L42" i="3"/>
  <c r="P42" i="3" s="1"/>
  <c r="Q42" i="3" s="1"/>
  <c r="E25" i="3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AG37" i="25" l="1"/>
  <c r="AI37" i="25" s="1"/>
  <c r="AJ37" i="25" s="1"/>
  <c r="AK37" i="25" s="1"/>
  <c r="AE38" i="25"/>
  <c r="AH39" i="25"/>
  <c r="AF38" i="25"/>
  <c r="AD38" i="25"/>
  <c r="AG38" i="25" s="1"/>
  <c r="AI38" i="25" s="1"/>
  <c r="AJ38" i="25" s="1"/>
  <c r="AK38" i="25" s="1"/>
  <c r="C36" i="25"/>
  <c r="F35" i="25"/>
  <c r="I35" i="25" s="1"/>
  <c r="X33" i="25"/>
  <c r="Y33" i="25" s="1"/>
  <c r="Z33" i="25" s="1"/>
  <c r="B34" i="25"/>
  <c r="E33" i="25"/>
  <c r="H33" i="25" s="1"/>
  <c r="K33" i="25" s="1"/>
  <c r="U33" i="25" s="1"/>
  <c r="L18" i="3"/>
  <c r="P18" i="3" s="1"/>
  <c r="Q18" i="3" s="1"/>
  <c r="R18" i="3" s="1"/>
  <c r="G18" i="3"/>
  <c r="H18" i="3" s="1"/>
  <c r="R37" i="3"/>
  <c r="R39" i="3"/>
  <c r="R41" i="3"/>
  <c r="R34" i="3"/>
  <c r="R36" i="3"/>
  <c r="R38" i="3"/>
  <c r="R35" i="3"/>
  <c r="R40" i="3"/>
  <c r="R42" i="3"/>
  <c r="R27" i="3"/>
  <c r="R29" i="3"/>
  <c r="R33" i="3"/>
  <c r="R28" i="3"/>
  <c r="R30" i="3"/>
  <c r="R32" i="3"/>
  <c r="R31" i="3"/>
  <c r="E41" i="3"/>
  <c r="F41" i="3" s="1"/>
  <c r="I41" i="3" s="1"/>
  <c r="E39" i="3"/>
  <c r="F39" i="3" s="1"/>
  <c r="I39" i="3" s="1"/>
  <c r="E37" i="3"/>
  <c r="F37" i="3" s="1"/>
  <c r="I37" i="3" s="1"/>
  <c r="E35" i="3"/>
  <c r="F35" i="3" s="1"/>
  <c r="I35" i="3" s="1"/>
  <c r="E33" i="3"/>
  <c r="F33" i="3" s="1"/>
  <c r="I33" i="3" s="1"/>
  <c r="E31" i="3"/>
  <c r="F31" i="3" s="1"/>
  <c r="I31" i="3" s="1"/>
  <c r="E29" i="3"/>
  <c r="F29" i="3" s="1"/>
  <c r="I29" i="3" s="1"/>
  <c r="E27" i="3"/>
  <c r="F27" i="3" s="1"/>
  <c r="I27" i="3" s="1"/>
  <c r="E42" i="3"/>
  <c r="F42" i="3" s="1"/>
  <c r="I42" i="3" s="1"/>
  <c r="E40" i="3"/>
  <c r="F40" i="3" s="1"/>
  <c r="I40" i="3" s="1"/>
  <c r="E38" i="3"/>
  <c r="F38" i="3" s="1"/>
  <c r="I38" i="3" s="1"/>
  <c r="E36" i="3"/>
  <c r="F36" i="3" s="1"/>
  <c r="I36" i="3" s="1"/>
  <c r="E34" i="3"/>
  <c r="F34" i="3" s="1"/>
  <c r="I34" i="3" s="1"/>
  <c r="E32" i="3"/>
  <c r="F32" i="3" s="1"/>
  <c r="I32" i="3" s="1"/>
  <c r="E30" i="3"/>
  <c r="F30" i="3" s="1"/>
  <c r="I30" i="3" s="1"/>
  <c r="E28" i="3"/>
  <c r="F28" i="3" s="1"/>
  <c r="I28" i="3" s="1"/>
  <c r="E26" i="3"/>
  <c r="F26" i="3" s="1"/>
  <c r="I26" i="3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H26" i="2"/>
  <c r="H27" i="2"/>
  <c r="M17" i="21" s="1"/>
  <c r="H28" i="2"/>
  <c r="M18" i="21" s="1"/>
  <c r="H29" i="2"/>
  <c r="M19" i="21" s="1"/>
  <c r="H30" i="2"/>
  <c r="M20" i="21" s="1"/>
  <c r="H31" i="2"/>
  <c r="M21" i="21" s="1"/>
  <c r="H32" i="2"/>
  <c r="M22" i="21" s="1"/>
  <c r="H33" i="2"/>
  <c r="M23" i="21" s="1"/>
  <c r="H34" i="2"/>
  <c r="M24" i="21" s="1"/>
  <c r="H35" i="2"/>
  <c r="M25" i="21" s="1"/>
  <c r="H36" i="2"/>
  <c r="M26" i="21" s="1"/>
  <c r="H37" i="2"/>
  <c r="M27" i="21" s="1"/>
  <c r="H38" i="2"/>
  <c r="M28" i="21" s="1"/>
  <c r="H39" i="2"/>
  <c r="M29" i="21" s="1"/>
  <c r="G25" i="2"/>
  <c r="J25" i="2" s="1"/>
  <c r="I25" i="2"/>
  <c r="H25" i="2"/>
  <c r="M15" i="21" s="1"/>
  <c r="G24" i="2"/>
  <c r="J24" i="2" s="1"/>
  <c r="I24" i="2"/>
  <c r="H24" i="2"/>
  <c r="M14" i="21" s="1"/>
  <c r="G23" i="2"/>
  <c r="J23" i="2" s="1"/>
  <c r="I23" i="2"/>
  <c r="H23" i="2"/>
  <c r="M13" i="2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32" i="1"/>
  <c r="H32" i="1" s="1"/>
  <c r="I32" i="1" s="1"/>
  <c r="G33" i="1"/>
  <c r="H33" i="1" s="1"/>
  <c r="I33" i="1" s="1"/>
  <c r="G34" i="1"/>
  <c r="H34" i="1" s="1"/>
  <c r="I34" i="1" s="1"/>
  <c r="C37" i="1"/>
  <c r="D37" i="1" s="1"/>
  <c r="E37" i="1" s="1"/>
  <c r="C38" i="1"/>
  <c r="D38" i="1" s="1"/>
  <c r="E38" i="1" s="1"/>
  <c r="C39" i="1"/>
  <c r="D39" i="1" s="1"/>
  <c r="E39" i="1" s="1"/>
  <c r="C40" i="1"/>
  <c r="D40" i="1" s="1"/>
  <c r="E40" i="1" s="1"/>
  <c r="C32" i="1"/>
  <c r="D32" i="1" s="1"/>
  <c r="E32" i="1" s="1"/>
  <c r="C33" i="1"/>
  <c r="D33" i="1" s="1"/>
  <c r="E33" i="1" s="1"/>
  <c r="C34" i="1"/>
  <c r="D34" i="1" s="1"/>
  <c r="E34" i="1" s="1"/>
  <c r="C28" i="1"/>
  <c r="D28" i="1" s="1"/>
  <c r="E28" i="1" s="1"/>
  <c r="C29" i="1"/>
  <c r="D29" i="1" s="1"/>
  <c r="E29" i="1" s="1"/>
  <c r="H36" i="1"/>
  <c r="I36" i="1" s="1"/>
  <c r="H35" i="1"/>
  <c r="I35" i="1" s="1"/>
  <c r="C35" i="1"/>
  <c r="D35" i="1" s="1"/>
  <c r="E35" i="1" s="1"/>
  <c r="H31" i="1"/>
  <c r="I31" i="1" s="1"/>
  <c r="C30" i="1"/>
  <c r="D30" i="1" s="1"/>
  <c r="E30" i="1" s="1"/>
  <c r="D27" i="1"/>
  <c r="E27" i="1" s="1"/>
  <c r="C37" i="25" l="1"/>
  <c r="F36" i="25"/>
  <c r="I36" i="25" s="1"/>
  <c r="X34" i="25"/>
  <c r="Y34" i="25" s="1"/>
  <c r="Z34" i="25" s="1"/>
  <c r="E34" i="25"/>
  <c r="H34" i="25" s="1"/>
  <c r="K34" i="25" s="1"/>
  <c r="U34" i="25" s="1"/>
  <c r="B35" i="25"/>
  <c r="AE39" i="25"/>
  <c r="AF39" i="25"/>
  <c r="AD39" i="25"/>
  <c r="AG39" i="25" s="1"/>
  <c r="AI39" i="25" s="1"/>
  <c r="AJ39" i="25" s="1"/>
  <c r="AK39" i="25" s="1"/>
  <c r="M16" i="21"/>
  <c r="H22" i="21"/>
  <c r="H20" i="21"/>
  <c r="H27" i="21"/>
  <c r="H25" i="21"/>
  <c r="G29" i="1"/>
  <c r="H29" i="1" s="1"/>
  <c r="I29" i="1" s="1"/>
  <c r="H23" i="21"/>
  <c r="H21" i="21"/>
  <c r="H28" i="21"/>
  <c r="H26" i="21"/>
  <c r="G30" i="1"/>
  <c r="H30" i="1" s="1"/>
  <c r="I30" i="1" s="1"/>
  <c r="G28" i="1"/>
  <c r="H28" i="1" s="1"/>
  <c r="I28" i="1" s="1"/>
  <c r="K24" i="2"/>
  <c r="U24" i="2" s="1"/>
  <c r="K39" i="2"/>
  <c r="U39" i="2" s="1"/>
  <c r="K37" i="2"/>
  <c r="U37" i="2" s="1"/>
  <c r="E27" i="21" s="1"/>
  <c r="K35" i="2"/>
  <c r="U35" i="2" s="1"/>
  <c r="E25" i="21" s="1"/>
  <c r="K33" i="2"/>
  <c r="U33" i="2" s="1"/>
  <c r="E23" i="21" s="1"/>
  <c r="K31" i="2"/>
  <c r="U31" i="2" s="1"/>
  <c r="E21" i="21" s="1"/>
  <c r="K29" i="2"/>
  <c r="U29" i="2" s="1"/>
  <c r="K27" i="2"/>
  <c r="U27" i="2" s="1"/>
  <c r="E17" i="21" s="1"/>
  <c r="K25" i="2"/>
  <c r="U25" i="2" s="1"/>
  <c r="E15" i="21" s="1"/>
  <c r="K23" i="2"/>
  <c r="U23" i="2" s="1"/>
  <c r="K38" i="2"/>
  <c r="U38" i="2" s="1"/>
  <c r="E28" i="21" s="1"/>
  <c r="K36" i="2"/>
  <c r="U36" i="2" s="1"/>
  <c r="E26" i="21" s="1"/>
  <c r="K34" i="2"/>
  <c r="U34" i="2" s="1"/>
  <c r="K32" i="2"/>
  <c r="U32" i="2" s="1"/>
  <c r="E22" i="21" s="1"/>
  <c r="K30" i="2"/>
  <c r="U30" i="2" s="1"/>
  <c r="E20" i="21" s="1"/>
  <c r="K28" i="2"/>
  <c r="U28" i="2" s="1"/>
  <c r="E18" i="21" s="1"/>
  <c r="K26" i="2"/>
  <c r="U26" i="2" s="1"/>
  <c r="E16" i="21" s="1"/>
  <c r="G27" i="1"/>
  <c r="H27" i="1" s="1"/>
  <c r="I27" i="1" s="1"/>
  <c r="H15" i="21" s="1"/>
  <c r="H13" i="13"/>
  <c r="H12" i="13"/>
  <c r="H11" i="13"/>
  <c r="H9" i="13" s="1"/>
  <c r="C16" i="20" s="1"/>
  <c r="H11" i="12"/>
  <c r="H9" i="12" s="1"/>
  <c r="C15" i="20" s="1"/>
  <c r="H13" i="12"/>
  <c r="H12" i="12"/>
  <c r="H11" i="11"/>
  <c r="H13" i="11"/>
  <c r="H12" i="11"/>
  <c r="H12" i="10"/>
  <c r="H13" i="10"/>
  <c r="H12" i="9"/>
  <c r="H11" i="10"/>
  <c r="C38" i="10"/>
  <c r="K17" i="10"/>
  <c r="D8" i="9"/>
  <c r="D15" i="9" s="1"/>
  <c r="H9" i="9" s="1"/>
  <c r="H13" i="9"/>
  <c r="H11" i="9"/>
  <c r="H12" i="8"/>
  <c r="H11" i="8"/>
  <c r="H11" i="7"/>
  <c r="H12" i="7"/>
  <c r="H9" i="7"/>
  <c r="C10" i="20" s="1"/>
  <c r="C9" i="20"/>
  <c r="H12" i="6"/>
  <c r="H9" i="6" s="1"/>
  <c r="H11" i="6"/>
  <c r="H4" i="13"/>
  <c r="H4" i="12"/>
  <c r="B15" i="20" s="1"/>
  <c r="H4" i="11"/>
  <c r="B14" i="20" s="1"/>
  <c r="H4" i="10"/>
  <c r="B13" i="20" s="1"/>
  <c r="B16" i="20"/>
  <c r="B12" i="20"/>
  <c r="H4" i="9"/>
  <c r="B11" i="20"/>
  <c r="H4" i="8"/>
  <c r="H4" i="7"/>
  <c r="B10" i="20" s="1"/>
  <c r="B9" i="20"/>
  <c r="H4" i="6"/>
  <c r="G16" i="20"/>
  <c r="G15" i="20"/>
  <c r="G14" i="20"/>
  <c r="G12" i="20"/>
  <c r="G11" i="20"/>
  <c r="G10" i="20"/>
  <c r="G9" i="20"/>
  <c r="X35" i="25" l="1"/>
  <c r="Y35" i="25" s="1"/>
  <c r="Z35" i="25" s="1"/>
  <c r="E35" i="25"/>
  <c r="H35" i="25" s="1"/>
  <c r="K35" i="25" s="1"/>
  <c r="U35" i="25" s="1"/>
  <c r="B36" i="25"/>
  <c r="C38" i="25"/>
  <c r="F37" i="25"/>
  <c r="I37" i="25" s="1"/>
  <c r="I23" i="21"/>
  <c r="H18" i="21"/>
  <c r="I18" i="21" s="1"/>
  <c r="H16" i="21"/>
  <c r="I16" i="21" s="1"/>
  <c r="H17" i="21"/>
  <c r="I17" i="21" s="1"/>
  <c r="I28" i="21"/>
  <c r="I21" i="21"/>
  <c r="I20" i="21"/>
  <c r="I27" i="21"/>
  <c r="I25" i="21"/>
  <c r="I22" i="21"/>
  <c r="I26" i="21"/>
  <c r="I15" i="21"/>
  <c r="H9" i="11"/>
  <c r="C14" i="20" s="1"/>
  <c r="H9" i="10"/>
  <c r="C13" i="20" s="1"/>
  <c r="C12" i="20"/>
  <c r="H9" i="8"/>
  <c r="C11" i="20" s="1"/>
  <c r="J37" i="13"/>
  <c r="G36" i="13"/>
  <c r="K19" i="13"/>
  <c r="K18" i="13"/>
  <c r="K17" i="13"/>
  <c r="C36" i="12"/>
  <c r="G36" i="12" s="1"/>
  <c r="C35" i="12"/>
  <c r="J37" i="12"/>
  <c r="K19" i="12"/>
  <c r="K18" i="12"/>
  <c r="K17" i="12"/>
  <c r="C36" i="11"/>
  <c r="G36" i="11" s="1"/>
  <c r="J37" i="11"/>
  <c r="K19" i="11"/>
  <c r="K18" i="11"/>
  <c r="K17" i="11"/>
  <c r="C35" i="10"/>
  <c r="G35" i="10" s="1"/>
  <c r="C34" i="10"/>
  <c r="G34" i="10"/>
  <c r="J36" i="10"/>
  <c r="K19" i="10"/>
  <c r="K18" i="10"/>
  <c r="C32" i="9"/>
  <c r="G32" i="9" s="1"/>
  <c r="C31" i="9"/>
  <c r="G31" i="9" s="1"/>
  <c r="J33" i="9"/>
  <c r="K21" i="9"/>
  <c r="K20" i="9"/>
  <c r="K19" i="9"/>
  <c r="C32" i="8"/>
  <c r="C31" i="8"/>
  <c r="C33" i="8" s="1"/>
  <c r="J33" i="8"/>
  <c r="G32" i="8"/>
  <c r="G31" i="8"/>
  <c r="K20" i="8"/>
  <c r="K19" i="8"/>
  <c r="K18" i="8"/>
  <c r="C34" i="6"/>
  <c r="C32" i="6"/>
  <c r="J32" i="6"/>
  <c r="G30" i="6"/>
  <c r="G31" i="6"/>
  <c r="C34" i="7"/>
  <c r="J32" i="7"/>
  <c r="G31" i="7"/>
  <c r="G30" i="7"/>
  <c r="C30" i="7"/>
  <c r="K24" i="7"/>
  <c r="K23" i="7"/>
  <c r="K20" i="7"/>
  <c r="C32" i="7"/>
  <c r="C31" i="7"/>
  <c r="C31" i="6"/>
  <c r="C30" i="6"/>
  <c r="K23" i="6"/>
  <c r="K24" i="6"/>
  <c r="K20" i="6"/>
  <c r="E9" i="20"/>
  <c r="C39" i="25" l="1"/>
  <c r="F38" i="25"/>
  <c r="I38" i="25" s="1"/>
  <c r="B37" i="25"/>
  <c r="X36" i="25"/>
  <c r="Y36" i="25" s="1"/>
  <c r="Z36" i="25" s="1"/>
  <c r="E36" i="25"/>
  <c r="H36" i="25" s="1"/>
  <c r="K36" i="25" s="1"/>
  <c r="U36" i="25" s="1"/>
  <c r="G35" i="13"/>
  <c r="C37" i="12"/>
  <c r="G35" i="12"/>
  <c r="C39" i="12" s="1"/>
  <c r="C37" i="11"/>
  <c r="G13" i="20"/>
  <c r="C36" i="10"/>
  <c r="C35" i="9"/>
  <c r="C33" i="9"/>
  <c r="C35" i="8"/>
  <c r="E16" i="20"/>
  <c r="E15" i="20"/>
  <c r="E14" i="20"/>
  <c r="E13" i="20"/>
  <c r="E12" i="20"/>
  <c r="E11" i="20"/>
  <c r="E10" i="20"/>
  <c r="D9" i="20"/>
  <c r="D16" i="20"/>
  <c r="D15" i="20"/>
  <c r="D14" i="20"/>
  <c r="D13" i="20"/>
  <c r="D12" i="20"/>
  <c r="D11" i="20"/>
  <c r="D10" i="20"/>
  <c r="J16" i="20"/>
  <c r="D12" i="22" s="1"/>
  <c r="E12" i="22" s="1"/>
  <c r="B16" i="19"/>
  <c r="B15" i="19"/>
  <c r="B14" i="19"/>
  <c r="B13" i="19"/>
  <c r="B12" i="19"/>
  <c r="B11" i="19"/>
  <c r="B10" i="19"/>
  <c r="B9" i="19"/>
  <c r="B8" i="17"/>
  <c r="C16" i="19"/>
  <c r="C15" i="19"/>
  <c r="C14" i="19"/>
  <c r="C13" i="19"/>
  <c r="C12" i="19"/>
  <c r="C11" i="19"/>
  <c r="C10" i="19"/>
  <c r="C9" i="19"/>
  <c r="C8" i="17"/>
  <c r="G16" i="19"/>
  <c r="G15" i="19"/>
  <c r="G14" i="19"/>
  <c r="G13" i="19"/>
  <c r="G12" i="19"/>
  <c r="G11" i="19"/>
  <c r="G10" i="19"/>
  <c r="G9" i="19"/>
  <c r="G8" i="17"/>
  <c r="F16" i="19"/>
  <c r="F15" i="19"/>
  <c r="F14" i="19"/>
  <c r="F13" i="19"/>
  <c r="F12" i="19"/>
  <c r="F11" i="19"/>
  <c r="F10" i="19"/>
  <c r="F9" i="19"/>
  <c r="F8" i="17"/>
  <c r="E16" i="19"/>
  <c r="E15" i="19"/>
  <c r="E14" i="19"/>
  <c r="E13" i="19"/>
  <c r="E12" i="19"/>
  <c r="E11" i="19"/>
  <c r="E10" i="19"/>
  <c r="E9" i="19"/>
  <c r="E8" i="17"/>
  <c r="D16" i="19"/>
  <c r="D15" i="19"/>
  <c r="D14" i="19"/>
  <c r="D13" i="19"/>
  <c r="D12" i="19"/>
  <c r="D11" i="19"/>
  <c r="D10" i="19"/>
  <c r="D9" i="19"/>
  <c r="D8" i="17"/>
  <c r="I16" i="19"/>
  <c r="I15" i="19"/>
  <c r="I14" i="19"/>
  <c r="I13" i="19"/>
  <c r="I12" i="19"/>
  <c r="I11" i="19"/>
  <c r="I10" i="19"/>
  <c r="I9" i="19"/>
  <c r="H8" i="17"/>
  <c r="H16" i="19"/>
  <c r="H15" i="19"/>
  <c r="H14" i="19"/>
  <c r="H13" i="19"/>
  <c r="H12" i="19"/>
  <c r="H11" i="19"/>
  <c r="H10" i="19"/>
  <c r="X37" i="25" l="1"/>
  <c r="Y37" i="25" s="1"/>
  <c r="Z37" i="25" s="1"/>
  <c r="E37" i="25"/>
  <c r="H37" i="25" s="1"/>
  <c r="K37" i="25" s="1"/>
  <c r="U37" i="25" s="1"/>
  <c r="B38" i="25"/>
  <c r="C40" i="25"/>
  <c r="F39" i="25"/>
  <c r="I39" i="25" s="1"/>
  <c r="J15" i="20"/>
  <c r="D11" i="22" s="1"/>
  <c r="E11" i="22" s="1"/>
  <c r="J14" i="20"/>
  <c r="D10" i="22" s="1"/>
  <c r="E10" i="22" s="1"/>
  <c r="J13" i="20"/>
  <c r="D9" i="22" s="1"/>
  <c r="E9" i="22" s="1"/>
  <c r="J12" i="20"/>
  <c r="D8" i="22" s="1"/>
  <c r="E8" i="22" s="1"/>
  <c r="J11" i="20"/>
  <c r="D7" i="22" s="1"/>
  <c r="E7" i="22" s="1"/>
  <c r="J10" i="20"/>
  <c r="D6" i="22" s="1"/>
  <c r="E6" i="22" s="1"/>
  <c r="J9" i="20"/>
  <c r="J12" i="19"/>
  <c r="J16" i="19"/>
  <c r="J14" i="19"/>
  <c r="J10" i="19"/>
  <c r="J11" i="19"/>
  <c r="J13" i="19"/>
  <c r="J15" i="19"/>
  <c r="J9" i="19"/>
  <c r="G14" i="17"/>
  <c r="G13" i="17"/>
  <c r="G12" i="17"/>
  <c r="G11" i="17"/>
  <c r="G10" i="17"/>
  <c r="G9" i="17"/>
  <c r="H14" i="17"/>
  <c r="H13" i="17"/>
  <c r="H12" i="17"/>
  <c r="H11" i="17"/>
  <c r="H10" i="17"/>
  <c r="H9" i="17"/>
  <c r="F15" i="17"/>
  <c r="F14" i="17"/>
  <c r="F13" i="17"/>
  <c r="F12" i="17"/>
  <c r="F11" i="17"/>
  <c r="F10" i="17"/>
  <c r="F9" i="17"/>
  <c r="E14" i="17"/>
  <c r="E13" i="17"/>
  <c r="E12" i="17"/>
  <c r="E11" i="17"/>
  <c r="E10" i="17"/>
  <c r="E9" i="17"/>
  <c r="D14" i="17"/>
  <c r="D13" i="17"/>
  <c r="D12" i="17"/>
  <c r="D11" i="17"/>
  <c r="D10" i="17"/>
  <c r="D9" i="17"/>
  <c r="C14" i="17"/>
  <c r="C13" i="17"/>
  <c r="C12" i="17"/>
  <c r="C11" i="17"/>
  <c r="C10" i="17"/>
  <c r="C9" i="17"/>
  <c r="B14" i="17"/>
  <c r="B13" i="17"/>
  <c r="B12" i="17"/>
  <c r="B11" i="17"/>
  <c r="B10" i="17"/>
  <c r="B9" i="17"/>
  <c r="C7" i="5"/>
  <c r="C12" i="5"/>
  <c r="F9" i="10"/>
  <c r="D9" i="10"/>
  <c r="F8" i="10"/>
  <c r="E8" i="10"/>
  <c r="E9" i="10" s="1"/>
  <c r="D8" i="10"/>
  <c r="C8" i="10"/>
  <c r="C9" i="10" s="1"/>
  <c r="G7" i="10"/>
  <c r="G6" i="10"/>
  <c r="G5" i="10"/>
  <c r="G4" i="10"/>
  <c r="G15" i="9"/>
  <c r="F15" i="9"/>
  <c r="E15" i="9"/>
  <c r="C15" i="9"/>
  <c r="S16" i="2"/>
  <c r="S17" i="2"/>
  <c r="S18" i="2"/>
  <c r="S19" i="2"/>
  <c r="S21" i="2"/>
  <c r="S22" i="2"/>
  <c r="R16" i="2"/>
  <c r="R17" i="2"/>
  <c r="R18" i="2"/>
  <c r="R19" i="2"/>
  <c r="R21" i="2"/>
  <c r="R22" i="2"/>
  <c r="Q16" i="2"/>
  <c r="Q17" i="2"/>
  <c r="Q18" i="2"/>
  <c r="Q19" i="2"/>
  <c r="Q20" i="2"/>
  <c r="Q21" i="2"/>
  <c r="Q22" i="2"/>
  <c r="Q15" i="2"/>
  <c r="P16" i="2"/>
  <c r="P17" i="2"/>
  <c r="P18" i="2"/>
  <c r="P19" i="2"/>
  <c r="P20" i="2"/>
  <c r="R20" i="2" s="1"/>
  <c r="S20" i="2" s="1"/>
  <c r="P21" i="2"/>
  <c r="P22" i="2"/>
  <c r="P15" i="2"/>
  <c r="R15" i="2" s="1"/>
  <c r="S15" i="2" s="1"/>
  <c r="O16" i="2"/>
  <c r="O17" i="2"/>
  <c r="O18" i="2"/>
  <c r="O19" i="2"/>
  <c r="O20" i="2"/>
  <c r="O21" i="2"/>
  <c r="O22" i="2"/>
  <c r="O15" i="2"/>
  <c r="C41" i="25" l="1"/>
  <c r="F40" i="25"/>
  <c r="I40" i="25" s="1"/>
  <c r="X38" i="25"/>
  <c r="Y38" i="25" s="1"/>
  <c r="Z38" i="25" s="1"/>
  <c r="E38" i="25"/>
  <c r="H38" i="25" s="1"/>
  <c r="K38" i="25" s="1"/>
  <c r="U38" i="25" s="1"/>
  <c r="B39" i="25"/>
  <c r="E5" i="22"/>
  <c r="I15" i="17"/>
  <c r="I14" i="17"/>
  <c r="I12" i="17"/>
  <c r="I11" i="17"/>
  <c r="I9" i="17"/>
  <c r="I13" i="17"/>
  <c r="I10" i="17"/>
  <c r="I8" i="17"/>
  <c r="G8" i="10"/>
  <c r="G9" i="10" s="1"/>
  <c r="C3" i="5"/>
  <c r="D3" i="5"/>
  <c r="E3" i="5"/>
  <c r="F3" i="5"/>
  <c r="G3" i="5"/>
  <c r="H3" i="5"/>
  <c r="I3" i="5"/>
  <c r="C4" i="5"/>
  <c r="D4" i="5"/>
  <c r="E4" i="5"/>
  <c r="F4" i="5"/>
  <c r="G4" i="5"/>
  <c r="H4" i="5"/>
  <c r="I4" i="5"/>
  <c r="J4" i="5"/>
  <c r="C5" i="5"/>
  <c r="D5" i="5"/>
  <c r="E5" i="5"/>
  <c r="F5" i="5"/>
  <c r="G5" i="5"/>
  <c r="H5" i="5"/>
  <c r="I5" i="5"/>
  <c r="D7" i="5"/>
  <c r="E7" i="5"/>
  <c r="F7" i="5"/>
  <c r="G7" i="5"/>
  <c r="H7" i="5"/>
  <c r="I7" i="5"/>
  <c r="C10" i="5"/>
  <c r="D10" i="5"/>
  <c r="E10" i="5"/>
  <c r="F10" i="5"/>
  <c r="I10" i="5"/>
  <c r="J10" i="5"/>
  <c r="C11" i="5"/>
  <c r="D11" i="5"/>
  <c r="E11" i="5"/>
  <c r="F11" i="5"/>
  <c r="G11" i="5"/>
  <c r="H11" i="5"/>
  <c r="I11" i="5"/>
  <c r="J11" i="5"/>
  <c r="D12" i="5"/>
  <c r="E12" i="5"/>
  <c r="F12" i="5"/>
  <c r="G12" i="5"/>
  <c r="H12" i="5"/>
  <c r="I12" i="5"/>
  <c r="J12" i="5"/>
  <c r="D15" i="5"/>
  <c r="D16" i="5" s="1"/>
  <c r="D17" i="5" s="1"/>
  <c r="E15" i="5"/>
  <c r="G15" i="5"/>
  <c r="H15" i="5"/>
  <c r="I15" i="5"/>
  <c r="J15" i="5"/>
  <c r="C16" i="5"/>
  <c r="E16" i="5"/>
  <c r="F16" i="5"/>
  <c r="G16" i="5"/>
  <c r="H16" i="5"/>
  <c r="I16" i="5"/>
  <c r="J16" i="5"/>
  <c r="C17" i="5"/>
  <c r="E17" i="5"/>
  <c r="F17" i="5"/>
  <c r="G17" i="5"/>
  <c r="H17" i="5"/>
  <c r="I17" i="5"/>
  <c r="J17" i="5"/>
  <c r="D23" i="5"/>
  <c r="E23" i="5"/>
  <c r="F23" i="5"/>
  <c r="G23" i="5"/>
  <c r="H23" i="5"/>
  <c r="I23" i="5"/>
  <c r="J23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6" i="5"/>
  <c r="D36" i="5"/>
  <c r="E36" i="5"/>
  <c r="F36" i="5"/>
  <c r="G36" i="5"/>
  <c r="H36" i="5"/>
  <c r="I36" i="5"/>
  <c r="J36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2" i="5"/>
  <c r="D42" i="5"/>
  <c r="E42" i="5"/>
  <c r="F42" i="5"/>
  <c r="G42" i="5"/>
  <c r="H42" i="5"/>
  <c r="I42" i="5"/>
  <c r="J42" i="5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J15" i="2"/>
  <c r="H16" i="2"/>
  <c r="M6" i="21" s="1"/>
  <c r="I15" i="2"/>
  <c r="K15" i="2" s="1"/>
  <c r="D10" i="3"/>
  <c r="J19" i="2"/>
  <c r="J20" i="2"/>
  <c r="J21" i="2"/>
  <c r="I17" i="2"/>
  <c r="I18" i="2"/>
  <c r="I19" i="2"/>
  <c r="I20" i="2"/>
  <c r="I21" i="2"/>
  <c r="I22" i="2"/>
  <c r="H17" i="2"/>
  <c r="M7" i="21" s="1"/>
  <c r="H18" i="2"/>
  <c r="M8" i="21" s="1"/>
  <c r="H19" i="2"/>
  <c r="M9" i="21" s="1"/>
  <c r="H20" i="2"/>
  <c r="M10" i="21" s="1"/>
  <c r="H21" i="2"/>
  <c r="M11" i="21" s="1"/>
  <c r="H22" i="2"/>
  <c r="M12" i="21" s="1"/>
  <c r="I16" i="2"/>
  <c r="G17" i="2"/>
  <c r="J17" i="2" s="1"/>
  <c r="K17" i="2" s="1"/>
  <c r="U17" i="2" s="1"/>
  <c r="G18" i="2"/>
  <c r="J18" i="2" s="1"/>
  <c r="G19" i="2"/>
  <c r="G20" i="2"/>
  <c r="G21" i="2"/>
  <c r="G22" i="2"/>
  <c r="J22" i="2" s="1"/>
  <c r="G16" i="2"/>
  <c r="J16" i="2" s="1"/>
  <c r="E7" i="2"/>
  <c r="X39" i="25" l="1"/>
  <c r="Y39" i="25" s="1"/>
  <c r="Z39" i="25" s="1"/>
  <c r="E39" i="25"/>
  <c r="H39" i="25" s="1"/>
  <c r="K39" i="25" s="1"/>
  <c r="U39" i="25" s="1"/>
  <c r="B40" i="25"/>
  <c r="C42" i="25"/>
  <c r="F41" i="25"/>
  <c r="I41" i="25" s="1"/>
  <c r="K22" i="2"/>
  <c r="U22" i="2" s="1"/>
  <c r="K18" i="2"/>
  <c r="U18" i="2" s="1"/>
  <c r="K20" i="2"/>
  <c r="U20" i="2" s="1"/>
  <c r="K21" i="2"/>
  <c r="U21" i="2" s="1"/>
  <c r="K19" i="2"/>
  <c r="U19" i="2" s="1"/>
  <c r="I18" i="3"/>
  <c r="F25" i="3"/>
  <c r="I25" i="3" s="1"/>
  <c r="E23" i="3"/>
  <c r="F23" i="3" s="1"/>
  <c r="I23" i="3" s="1"/>
  <c r="E21" i="3"/>
  <c r="F21" i="3" s="1"/>
  <c r="I21" i="3" s="1"/>
  <c r="E19" i="3"/>
  <c r="F19" i="3" s="1"/>
  <c r="I19" i="3" s="1"/>
  <c r="E24" i="3"/>
  <c r="F24" i="3" s="1"/>
  <c r="I24" i="3" s="1"/>
  <c r="E22" i="3"/>
  <c r="F22" i="3" s="1"/>
  <c r="I22" i="3" s="1"/>
  <c r="E20" i="3"/>
  <c r="F20" i="3" s="1"/>
  <c r="I20" i="3" s="1"/>
  <c r="K16" i="2"/>
  <c r="U16" i="2" s="1"/>
  <c r="C25" i="1"/>
  <c r="I7" i="1"/>
  <c r="C17" i="1"/>
  <c r="D17" i="1" s="1"/>
  <c r="C18" i="1"/>
  <c r="C19" i="1"/>
  <c r="C20" i="1"/>
  <c r="C21" i="1"/>
  <c r="C22" i="1"/>
  <c r="C23" i="1"/>
  <c r="C24" i="1"/>
  <c r="G24" i="1" s="1"/>
  <c r="C31" i="1"/>
  <c r="D31" i="1" s="1"/>
  <c r="E31" i="1" s="1"/>
  <c r="C36" i="1"/>
  <c r="D36" i="1" s="1"/>
  <c r="E36" i="1" s="1"/>
  <c r="C41" i="1"/>
  <c r="D41" i="1" s="1"/>
  <c r="E41" i="1" s="1"/>
  <c r="C43" i="25" l="1"/>
  <c r="F43" i="25" s="1"/>
  <c r="I43" i="25" s="1"/>
  <c r="F42" i="25"/>
  <c r="I42" i="25" s="1"/>
  <c r="X40" i="25"/>
  <c r="Y40" i="25" s="1"/>
  <c r="Z40" i="25" s="1"/>
  <c r="E40" i="25"/>
  <c r="H40" i="25" s="1"/>
  <c r="K40" i="25" s="1"/>
  <c r="U40" i="25" s="1"/>
  <c r="B41" i="25"/>
  <c r="T18" i="3"/>
  <c r="E29" i="21"/>
  <c r="I29" i="21" s="1"/>
  <c r="H19" i="21"/>
  <c r="E19" i="21"/>
  <c r="H24" i="21"/>
  <c r="E24" i="21"/>
  <c r="D26" i="1"/>
  <c r="E26" i="1" s="1"/>
  <c r="G26" i="1"/>
  <c r="H26" i="1" s="1"/>
  <c r="I26" i="1" s="1"/>
  <c r="D25" i="1"/>
  <c r="E25" i="1" s="1"/>
  <c r="G25" i="1"/>
  <c r="H25" i="1" s="1"/>
  <c r="I25" i="1" s="1"/>
  <c r="D24" i="1"/>
  <c r="E24" i="1" s="1"/>
  <c r="H24" i="1"/>
  <c r="I24" i="1" s="1"/>
  <c r="H12" i="21" s="1"/>
  <c r="D22" i="1"/>
  <c r="E22" i="1" s="1"/>
  <c r="G22" i="1"/>
  <c r="H22" i="1" s="1"/>
  <c r="I22" i="1" s="1"/>
  <c r="D20" i="1"/>
  <c r="E20" i="1" s="1"/>
  <c r="G20" i="1"/>
  <c r="H20" i="1" s="1"/>
  <c r="I20" i="1" s="1"/>
  <c r="D18" i="1"/>
  <c r="E18" i="1" s="1"/>
  <c r="G18" i="1"/>
  <c r="H18" i="1" s="1"/>
  <c r="I18" i="1" s="1"/>
  <c r="D23" i="1"/>
  <c r="E23" i="1" s="1"/>
  <c r="G23" i="1"/>
  <c r="H23" i="1" s="1"/>
  <c r="I23" i="1" s="1"/>
  <c r="D21" i="1"/>
  <c r="E21" i="1" s="1"/>
  <c r="G21" i="1"/>
  <c r="H21" i="1" s="1"/>
  <c r="I21" i="1" s="1"/>
  <c r="D19" i="1"/>
  <c r="E19" i="1" s="1"/>
  <c r="G19" i="1"/>
  <c r="H19" i="1" s="1"/>
  <c r="I19" i="1" s="1"/>
  <c r="E17" i="1"/>
  <c r="G17" i="1"/>
  <c r="H17" i="1" s="1"/>
  <c r="I17" i="1" s="1"/>
  <c r="X41" i="25" l="1"/>
  <c r="Y41" i="25" s="1"/>
  <c r="Z41" i="25" s="1"/>
  <c r="E41" i="25"/>
  <c r="H41" i="25" s="1"/>
  <c r="K41" i="25" s="1"/>
  <c r="U41" i="25" s="1"/>
  <c r="B42" i="25"/>
  <c r="E11" i="21"/>
  <c r="E6" i="21"/>
  <c r="E10" i="21"/>
  <c r="E12" i="21"/>
  <c r="I12" i="21"/>
  <c r="I24" i="21"/>
  <c r="I19" i="21"/>
  <c r="H5" i="21"/>
  <c r="H7" i="21"/>
  <c r="H9" i="21"/>
  <c r="H11" i="21"/>
  <c r="H6" i="21"/>
  <c r="I6" i="21" s="1"/>
  <c r="H8" i="21"/>
  <c r="H10" i="21"/>
  <c r="H13" i="21"/>
  <c r="E13" i="21"/>
  <c r="E5" i="21"/>
  <c r="E9" i="21"/>
  <c r="E8" i="21"/>
  <c r="E7" i="21"/>
  <c r="H14" i="21"/>
  <c r="E14" i="21"/>
  <c r="X42" i="25" l="1"/>
  <c r="Y42" i="25" s="1"/>
  <c r="Z42" i="25" s="1"/>
  <c r="E42" i="25"/>
  <c r="H42" i="25" s="1"/>
  <c r="K42" i="25" s="1"/>
  <c r="U42" i="25" s="1"/>
  <c r="B43" i="25"/>
  <c r="I11" i="21"/>
  <c r="I10" i="21"/>
  <c r="Q5" i="21"/>
  <c r="T5" i="21" s="1"/>
  <c r="V5" i="21" s="1"/>
  <c r="W5" i="21" s="1"/>
  <c r="I5" i="21"/>
  <c r="I8" i="21"/>
  <c r="I7" i="21"/>
  <c r="I9" i="21"/>
  <c r="I13" i="21"/>
  <c r="I14" i="21"/>
  <c r="X43" i="25" l="1"/>
  <c r="Y43" i="25" s="1"/>
  <c r="Z43" i="25" s="1"/>
  <c r="E43" i="25"/>
  <c r="H43" i="25" s="1"/>
  <c r="K43" i="25" s="1"/>
  <c r="U43" i="25" s="1"/>
</calcChain>
</file>

<file path=xl/comments1.xml><?xml version="1.0" encoding="utf-8"?>
<comments xmlns="http://schemas.openxmlformats.org/spreadsheetml/2006/main">
  <authors>
    <author>Elia</author>
  </authors>
  <commentList>
    <comment ref="N20" authorId="0">
      <text>
        <r>
          <rPr>
            <b/>
            <sz val="9"/>
            <color indexed="81"/>
            <rFont val="Tahoma"/>
            <family val="2"/>
          </rPr>
          <t>Elia:</t>
        </r>
        <r>
          <rPr>
            <sz val="9"/>
            <color indexed="81"/>
            <rFont val="Tahoma"/>
            <family val="2"/>
          </rPr>
          <t xml:space="preserve">
was 7,008,000 in IPCC tool!</t>
        </r>
      </text>
    </comment>
  </commentList>
</comments>
</file>

<file path=xl/comments2.xml><?xml version="1.0" encoding="utf-8"?>
<comments xmlns="http://schemas.openxmlformats.org/spreadsheetml/2006/main">
  <authors>
    <author>Elia</author>
  </authors>
  <commentList>
    <comment ref="N20" authorId="0">
      <text>
        <r>
          <rPr>
            <b/>
            <sz val="9"/>
            <color indexed="81"/>
            <rFont val="Tahoma"/>
            <family val="2"/>
          </rPr>
          <t>Elia:</t>
        </r>
        <r>
          <rPr>
            <sz val="9"/>
            <color indexed="81"/>
            <rFont val="Tahoma"/>
            <family val="2"/>
          </rPr>
          <t xml:space="preserve">
was 7,008,000 in IPCC tool!</t>
        </r>
      </text>
    </comment>
  </commentList>
</comments>
</file>

<file path=xl/comments3.xml><?xml version="1.0" encoding="utf-8"?>
<comments xmlns="http://schemas.openxmlformats.org/spreadsheetml/2006/main">
  <authors>
    <author>Elia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Elia:</t>
        </r>
        <r>
          <rPr>
            <sz val="9"/>
            <color indexed="81"/>
            <rFont val="Tahoma"/>
            <family val="2"/>
          </rPr>
          <t xml:space="preserve">
In IPCC Tool: For manure with litter, the Nrate is swapped between broiler and broiller parent compared to other years. Or are the other years wrong?</t>
        </r>
      </text>
    </comment>
  </commentList>
</comments>
</file>

<file path=xl/comments4.xml><?xml version="1.0" encoding="utf-8"?>
<comments xmlns="http://schemas.openxmlformats.org/spreadsheetml/2006/main">
  <authors>
    <author>Elia</author>
  </authors>
  <commentList>
    <comment ref="H31" authorId="0">
      <text>
        <r>
          <rPr>
            <b/>
            <sz val="9"/>
            <color indexed="81"/>
            <rFont val="Tahoma"/>
            <family val="2"/>
          </rPr>
          <t>Elia:</t>
        </r>
        <r>
          <rPr>
            <sz val="9"/>
            <color indexed="81"/>
            <rFont val="Tahoma"/>
            <family val="2"/>
          </rPr>
          <t xml:space="preserve">
should be 0.001.</t>
        </r>
      </text>
    </comment>
  </commentList>
</comments>
</file>

<file path=xl/sharedStrings.xml><?xml version="1.0" encoding="utf-8"?>
<sst xmlns="http://schemas.openxmlformats.org/spreadsheetml/2006/main" count="1423" uniqueCount="393">
  <si>
    <t>YEAR</t>
  </si>
  <si>
    <t>Area Available (ha)</t>
  </si>
  <si>
    <t>Area Burnt (ha)</t>
  </si>
  <si>
    <t>GHG (tCH4)</t>
  </si>
  <si>
    <t>GHG (GgCO2e)</t>
  </si>
  <si>
    <t>MODEL PARAMETERS</t>
  </si>
  <si>
    <t>Parameter</t>
  </si>
  <si>
    <t>Symbol</t>
  </si>
  <si>
    <t>Value</t>
  </si>
  <si>
    <t>Unit</t>
  </si>
  <si>
    <t>Mass of fuel available for burning</t>
  </si>
  <si>
    <t>Combustion factor</t>
  </si>
  <si>
    <t>Emission factor</t>
  </si>
  <si>
    <t>MB</t>
  </si>
  <si>
    <t>Cf</t>
  </si>
  <si>
    <t>Gef</t>
  </si>
  <si>
    <t>t/ha</t>
  </si>
  <si>
    <t>dml</t>
  </si>
  <si>
    <t>gGHG/(kg dm burnt)</t>
  </si>
  <si>
    <t>Global warming potential</t>
  </si>
  <si>
    <t>GWP</t>
  </si>
  <si>
    <t>tCO2e/tCH4</t>
  </si>
  <si>
    <t>Constants (controlled biomass burning - sugar cane fields)</t>
  </si>
  <si>
    <t>Fb</t>
  </si>
  <si>
    <t>EMISSIONS CALCULATIONS</t>
  </si>
  <si>
    <t>Fraction of available area burnt, 2006-2015</t>
  </si>
  <si>
    <t>This worksheet calculates CH4 emissions from the burning of sugar cane fields (agriculture residue burning).</t>
  </si>
  <si>
    <t>This worksheet calculates the direct N2O emissions from managed soils.</t>
  </si>
  <si>
    <r>
      <t xml:space="preserve">It follows the calculations given in sheet </t>
    </r>
    <r>
      <rPr>
        <b/>
        <i/>
        <sz val="11"/>
        <color theme="1"/>
        <rFont val="Calibri"/>
        <family val="2"/>
        <scheme val="minor"/>
      </rPr>
      <t>3.C.4. Direct N2O Emissions from managed soils</t>
    </r>
    <r>
      <rPr>
        <b/>
        <sz val="11"/>
        <color theme="1"/>
        <rFont val="Calibri"/>
        <family val="2"/>
        <scheme val="minor"/>
      </rPr>
      <t xml:space="preserve"> in the IPCC tool.</t>
    </r>
  </si>
  <si>
    <r>
      <t xml:space="preserve">It reproduces the calculation carried out in the sheet </t>
    </r>
    <r>
      <rPr>
        <b/>
        <i/>
        <sz val="11"/>
        <color theme="1"/>
        <rFont val="Calibri"/>
        <family val="2"/>
        <scheme val="minor"/>
      </rPr>
      <t>3.C.1.b.</t>
    </r>
    <r>
      <rPr>
        <b/>
        <sz val="11"/>
        <color theme="1"/>
        <rFont val="Calibri"/>
        <family val="2"/>
        <scheme val="minor"/>
      </rPr>
      <t xml:space="preserve"> in the IPCC tool.</t>
    </r>
  </si>
  <si>
    <t>EF</t>
  </si>
  <si>
    <t>kgN2O-N/Kg N input</t>
  </si>
  <si>
    <t>Conversion factor</t>
  </si>
  <si>
    <t>kgN2O/kgN2O-N</t>
  </si>
  <si>
    <t>Column1</t>
  </si>
  <si>
    <t>kgCO2e/kgN2O</t>
  </si>
  <si>
    <t>Year</t>
  </si>
  <si>
    <t>Fertilizer (kg N/yr)</t>
  </si>
  <si>
    <t>CropResidues (kg N/yr)</t>
  </si>
  <si>
    <t>Manure (kg N/yr)</t>
  </si>
  <si>
    <t>N2O fert (t/yr)</t>
  </si>
  <si>
    <t>N2O CropRes (t/yr)</t>
  </si>
  <si>
    <t>N2O Manure (t/yr)</t>
  </si>
  <si>
    <t>CO2e Fert (Gg/yr)</t>
  </si>
  <si>
    <t>CO2e CropRes (Gg/yr)</t>
  </si>
  <si>
    <t>CO2e Manure (Gg/yr)</t>
  </si>
  <si>
    <t>CO2e total (Gg/yr)</t>
  </si>
  <si>
    <t>This worksheet calculates the indirect N2O emissions from managed soils.</t>
  </si>
  <si>
    <t>It follows the calculations given in sheet 3.C.5. Indirect N2O Emissions from managed soils in the IPCC tool.</t>
  </si>
  <si>
    <t>Parameters</t>
  </si>
  <si>
    <t>Units</t>
  </si>
  <si>
    <t>fraction of synthetic fertiliser that volatilises</t>
  </si>
  <si>
    <t>Frac(GASF)</t>
  </si>
  <si>
    <t>(kg NH3-N+Nox-N)/kg N</t>
  </si>
  <si>
    <t>fraction of organic or dung that volatilises</t>
  </si>
  <si>
    <t>Frac(GASM)</t>
  </si>
  <si>
    <t>(kg N2O-N)/kg(NH3-N+Nox-N)</t>
  </si>
  <si>
    <t>Global Warming Potential</t>
  </si>
  <si>
    <t>GWP(N2O)</t>
  </si>
  <si>
    <t>(kg N2O)/(kg N2O-N)</t>
  </si>
  <si>
    <t>N2O Volatilised (t/yr)</t>
  </si>
  <si>
    <t>CO2e Volatilised (Gg/yr)</t>
  </si>
  <si>
    <t>N2O leached (y/yr)</t>
  </si>
  <si>
    <t>CO2e leached (Gg/yr)</t>
  </si>
  <si>
    <t>CO2e Total (Gg/yr)</t>
  </si>
  <si>
    <t>Emission factor leached</t>
  </si>
  <si>
    <t>Emission factor volatilised</t>
  </si>
  <si>
    <t>EF-4</t>
  </si>
  <si>
    <t>EF-5</t>
  </si>
  <si>
    <t>Kg N2O-N/kg N leached</t>
  </si>
  <si>
    <t>fraction N leached</t>
  </si>
  <si>
    <t>Frac(LEACH)</t>
  </si>
  <si>
    <t>kgN/Kg of N additions</t>
  </si>
  <si>
    <t>N/A: not available</t>
  </si>
  <si>
    <t>FAREI Estimate</t>
  </si>
  <si>
    <t>Deer</t>
  </si>
  <si>
    <t>Source: Mauritius Turf Club</t>
  </si>
  <si>
    <t>N/A</t>
  </si>
  <si>
    <t>Horse</t>
  </si>
  <si>
    <t>Broiler + Layer + Duck (birds)</t>
  </si>
  <si>
    <t>Total poultry</t>
  </si>
  <si>
    <t>Total number of ducks</t>
  </si>
  <si>
    <t>Number of Pekin ducks (Cycle: 2 months)</t>
  </si>
  <si>
    <t>Source: APD, MAIFS</t>
  </si>
  <si>
    <t>n/a</t>
  </si>
  <si>
    <t>Number of Pekin ducklings sold/year</t>
  </si>
  <si>
    <t>Parent stock of Pekin ducks</t>
  </si>
  <si>
    <t>No of Muskovy ducks</t>
  </si>
  <si>
    <t>Assumption ratio Muskovy: Pekin 1:1</t>
  </si>
  <si>
    <t>Source: FAREI</t>
  </si>
  <si>
    <t>Duck</t>
  </si>
  <si>
    <t>Total layers and parent stock</t>
  </si>
  <si>
    <t>Conversion to number of parents stock (300 eggs/year)</t>
  </si>
  <si>
    <t>Convertion to number of layers (Assumption: 300 eggs/layer)</t>
  </si>
  <si>
    <t>Source: FOOD BALANCE SHEETS Table 6.4 Pg 127/128</t>
  </si>
  <si>
    <t>Local production</t>
  </si>
  <si>
    <t>Eggs (million)</t>
  </si>
  <si>
    <t>Total broilers and parent stock</t>
  </si>
  <si>
    <t>Conversion to number of parents stock (300 eggs/year)- Broiler parent stock</t>
  </si>
  <si>
    <t>Total broiler per year</t>
  </si>
  <si>
    <t>No of cycle/year (Cycle 2 months)</t>
  </si>
  <si>
    <t xml:space="preserve">Total broilers </t>
  </si>
  <si>
    <t>Convertion to number of broilers (Assumption: 1.5kg/carcass LWT)</t>
  </si>
  <si>
    <t>Chicken meat (T)</t>
  </si>
  <si>
    <t>Year 2007/2008: African Swine Fever</t>
  </si>
  <si>
    <t>Source: FAREI for 2006 &amp; 2010- DIGEST OF AGRICULTURAL STATISTICS Table 5.1 Pg 97</t>
  </si>
  <si>
    <t>Pig</t>
  </si>
  <si>
    <t xml:space="preserve">Total local and imported </t>
  </si>
  <si>
    <t xml:space="preserve">Transit period for slaughter 3 months </t>
  </si>
  <si>
    <t>Annualised figure for Imported goat</t>
  </si>
  <si>
    <t>Source: MMA Annual Report Importation</t>
  </si>
  <si>
    <t>Imported (heads)</t>
  </si>
  <si>
    <t>Source: DIGEST OF AGRICULTURAL STATISTICS Table 5.1 Pg 97</t>
  </si>
  <si>
    <t>Local (heads)</t>
  </si>
  <si>
    <t>Sheep</t>
  </si>
  <si>
    <t>Total local and imported</t>
  </si>
  <si>
    <t>Goat</t>
  </si>
  <si>
    <t>Non Dairy cattle (heads)</t>
  </si>
  <si>
    <t>Dairy cattle (heads)</t>
  </si>
  <si>
    <t>Annualised figure for Imported cattle</t>
  </si>
  <si>
    <t>Source: FAREI for year 2006 2007 - DIGEST OF AGRICULTURAL STATISTICS Table 5.1 Pg 97</t>
  </si>
  <si>
    <t>Cattle</t>
  </si>
  <si>
    <t>Species</t>
  </si>
  <si>
    <t>Year 2006</t>
  </si>
  <si>
    <t>Cattle (No of heads)</t>
  </si>
  <si>
    <r>
      <t>Temp (</t>
    </r>
    <r>
      <rPr>
        <sz val="11"/>
        <color indexed="8"/>
        <rFont val="Arial"/>
        <family val="2"/>
      </rPr>
      <t>ºC)</t>
    </r>
  </si>
  <si>
    <t>District</t>
  </si>
  <si>
    <t>Cows</t>
  </si>
  <si>
    <t>Calves</t>
  </si>
  <si>
    <t>Heifers</t>
  </si>
  <si>
    <t>Bulls</t>
  </si>
  <si>
    <t>Total</t>
  </si>
  <si>
    <t>Plaines Wilhems/ Moka</t>
  </si>
  <si>
    <t>Curepipe LRS</t>
  </si>
  <si>
    <t>Total 22</t>
  </si>
  <si>
    <t>Flacq</t>
  </si>
  <si>
    <t>Palmar LPU</t>
  </si>
  <si>
    <t>Palmar LPU (Boran Beef type)</t>
  </si>
  <si>
    <t>Total 24</t>
  </si>
  <si>
    <t>Pamplemousses/Grand Port/ Savanne/ Black River/ Port Louis</t>
  </si>
  <si>
    <t xml:space="preserve">Mauritius Prisons </t>
  </si>
  <si>
    <t>Imported for slaughter</t>
  </si>
  <si>
    <t>Total 25</t>
  </si>
  <si>
    <t>Grand Total</t>
  </si>
  <si>
    <t>Pig (No of heads)</t>
  </si>
  <si>
    <t>Boars</t>
  </si>
  <si>
    <t>Sows &amp; gilts</t>
  </si>
  <si>
    <t>Piglets</t>
  </si>
  <si>
    <t>Fatteners</t>
  </si>
  <si>
    <t>Year 2007</t>
  </si>
  <si>
    <t>CO2e subtotal (Gg/yr)</t>
  </si>
  <si>
    <t>N2O emissions from managed soils - 1/3</t>
  </si>
  <si>
    <t>Cattle,poultry,pigs (kgN/yr)</t>
  </si>
  <si>
    <t>sheep&amp;other (kgN/yr)</t>
  </si>
  <si>
    <t>Emission factor, cattle,poultry, pigs</t>
  </si>
  <si>
    <t>Emission factor, sheep&amp;other</t>
  </si>
  <si>
    <t>N2O cpp (t/yr)</t>
  </si>
  <si>
    <t>N2O s&amp;o (t/yr)</t>
  </si>
  <si>
    <t>CO2e cpp (Gg/yr)</t>
  </si>
  <si>
    <t>CO2e s&amp;o (Gg/yr)</t>
  </si>
  <si>
    <t>N2O emissions from urine and dung inputs to grazed soils - 3/3</t>
  </si>
  <si>
    <t>Year 2008</t>
  </si>
  <si>
    <t>Year 2009</t>
  </si>
  <si>
    <t>Golden Dairy Cream/Agreenculture Holdings Ltd</t>
  </si>
  <si>
    <t>SKC Dairy Fresh Co Ltd</t>
  </si>
  <si>
    <t>Sugar Estate</t>
  </si>
  <si>
    <t>Year 2010</t>
  </si>
  <si>
    <t>Sub total</t>
  </si>
  <si>
    <t xml:space="preserve">Sows &amp; gilt </t>
  </si>
  <si>
    <t>Year 2011</t>
  </si>
  <si>
    <t>Year 2012</t>
  </si>
  <si>
    <t>Year 2013</t>
  </si>
  <si>
    <t>Livestock sub category</t>
  </si>
  <si>
    <t>Typical animal mass (kg)</t>
  </si>
  <si>
    <t>CH4 Emission factor from enteric fermentation (kgCH4/(head year)</t>
  </si>
  <si>
    <t>CH4 Emission factor from manure management (kgCH4/(head year)</t>
  </si>
  <si>
    <t>Excretion rate/mass/day</t>
  </si>
  <si>
    <t>Dairy cow</t>
  </si>
  <si>
    <t>Bull</t>
  </si>
  <si>
    <t>Calf</t>
  </si>
  <si>
    <t>Heifer</t>
  </si>
  <si>
    <t>Imported bull</t>
  </si>
  <si>
    <t>Default value for (Developed countries )</t>
  </si>
  <si>
    <t>Mule &amp; Asses</t>
  </si>
  <si>
    <t>Boar</t>
  </si>
  <si>
    <t>Fattener</t>
  </si>
  <si>
    <t>Piglet</t>
  </si>
  <si>
    <t>sow/gilt</t>
  </si>
  <si>
    <t>Broiler</t>
  </si>
  <si>
    <t>Broiler parent</t>
  </si>
  <si>
    <t>Layer/Parent</t>
  </si>
  <si>
    <t xml:space="preserve"> IPPCC 2006 pg 10.28 Table 10.10</t>
  </si>
  <si>
    <t>Region (temp)</t>
  </si>
  <si>
    <t>Livestock subcategory</t>
  </si>
  <si>
    <t>Emission factor for direct N2O from Manure Management system</t>
  </si>
  <si>
    <t>Solid storage</t>
  </si>
  <si>
    <t>Pasture range paddock</t>
  </si>
  <si>
    <t>Dry lot</t>
  </si>
  <si>
    <t>Anerobic digester</t>
  </si>
  <si>
    <t>Aerobic treatment</t>
  </si>
  <si>
    <t>Poultry with litter</t>
  </si>
  <si>
    <t xml:space="preserve">Poultry without litter </t>
  </si>
  <si>
    <t>Mauritius Average</t>
  </si>
  <si>
    <t>Year 2006 to 2008</t>
  </si>
  <si>
    <t>Manure management (fraction)</t>
  </si>
  <si>
    <t>Local Bull</t>
  </si>
  <si>
    <t xml:space="preserve">Year 2009 </t>
  </si>
  <si>
    <t>Year 2010 to 2013</t>
  </si>
  <si>
    <t>This worksheet calculates the emissions of CH4 from enteric fermentation.</t>
  </si>
  <si>
    <t>It replicates the calculations in sheet 3.A.1. - Enteric Fermentation of the IPCC tool.</t>
  </si>
  <si>
    <t>Data for animals heads are taken from worksheets Ls2006 to Ls2013, and CH4 emission factors are taken from worksheet CH4 Emission factors.</t>
  </si>
  <si>
    <t>Dairy cows</t>
  </si>
  <si>
    <t>Data for number of goats and sheep are taken from worksheet 'Master Table 2006 2013'. The GWP for CH4 is taken from worksheet CropBurn.</t>
  </si>
  <si>
    <t>other cattle</t>
  </si>
  <si>
    <t>sheep</t>
  </si>
  <si>
    <t>goats</t>
  </si>
  <si>
    <t>horses</t>
  </si>
  <si>
    <t>swine</t>
  </si>
  <si>
    <t>other (deer)</t>
  </si>
  <si>
    <t>This worksheet calculates CH4 and N2O emissions from livestock manure management as per sheets at 3.A.2. - Manaure management in the IPCC tool.</t>
  </si>
  <si>
    <t xml:space="preserve">Emission factors for CH4 and N2O are taken from worksheets 'CH4 Emission factors' and 'N2O Emission facrors', respectively. </t>
  </si>
  <si>
    <t>GWP for CH4 and N2O are taken from worksheets 'CropBurn' and 'DirN2OManSoil', respectively. For CH4 emissions, data of head counts are obtained from worksheet 'Master Table 2006 2013'.</t>
  </si>
  <si>
    <t>Poultry</t>
  </si>
  <si>
    <t>Average weight (kg/head)</t>
  </si>
  <si>
    <t>N excretion</t>
  </si>
  <si>
    <t>GWP N20</t>
  </si>
  <si>
    <t>TAM</t>
  </si>
  <si>
    <t>Nrate</t>
  </si>
  <si>
    <t>MS(T,S) - solid storage</t>
  </si>
  <si>
    <t>MS(T,S) - aerobic treatment</t>
  </si>
  <si>
    <t>MS(T,S) - anaerobic digester</t>
  </si>
  <si>
    <t>MS(T,S)-total</t>
  </si>
  <si>
    <t>kgN2O/yr - aerobic treatment</t>
  </si>
  <si>
    <t>kgN2O/yr - solid storage</t>
  </si>
  <si>
    <t>kgN2O/yr - TOTAL</t>
  </si>
  <si>
    <t>Calculations for swine</t>
  </si>
  <si>
    <t>Calculations for dairy cows</t>
  </si>
  <si>
    <t>MS(T,S)-aerobic treatment</t>
  </si>
  <si>
    <t>P.Wilhems - 22</t>
  </si>
  <si>
    <t>Flacq - 24</t>
  </si>
  <si>
    <t>Pampl - 25</t>
  </si>
  <si>
    <t>calculations for other cattle</t>
  </si>
  <si>
    <t>solid storage</t>
  </si>
  <si>
    <t>dry lot</t>
  </si>
  <si>
    <t>TAM(cows)</t>
  </si>
  <si>
    <t>calves</t>
  </si>
  <si>
    <t>heifer</t>
  </si>
  <si>
    <t>local bulls</t>
  </si>
  <si>
    <t>imported bulls</t>
  </si>
  <si>
    <t>dry lot N2O EF</t>
  </si>
  <si>
    <t>Gg/yr</t>
  </si>
  <si>
    <t>aerobic</t>
  </si>
  <si>
    <t>CALCULATING N20 EMISSIONS FROM MANURE MANAGEMENT</t>
  </si>
  <si>
    <t>CALCULATING DIRECT CH4 EMISSIONS FROM MANURE MANAGEMENT SYSTEM</t>
  </si>
  <si>
    <t>This worksheet calculates direct N2O emissions from livestock manure management as per sheets at 3.A.2. - Manaure management in the IPCC tool.</t>
  </si>
  <si>
    <t xml:space="preserve">Emission factors for N2O are taken from worksheet 'N2O Emission facrors'. </t>
  </si>
  <si>
    <t>Data of head counts are obtained from worksheet 'Master Table 2006 2013', and Ls2006 to Ls2013.</t>
  </si>
  <si>
    <t>EMISSIONS CALCULATIONS - Business as Usual (BAU) scenario</t>
  </si>
  <si>
    <t>Area burnt (ha)</t>
  </si>
  <si>
    <t>Emissions reduction scenario - To reduce area burnt to 7.5% of total area available in 2020, and to 5% of total area in 2025 and beyond.</t>
  </si>
  <si>
    <t>This worksheet summarises the various emissions scenarios for management of cropland.</t>
  </si>
  <si>
    <t>Business-as-Usual (BAU) (Gg CO2e)</t>
  </si>
  <si>
    <t>CropBurn</t>
  </si>
  <si>
    <t>DirN2OManSoil</t>
  </si>
  <si>
    <t>IndN2OManSoil</t>
  </si>
  <si>
    <t>Change</t>
  </si>
  <si>
    <t>Total-change</t>
  </si>
  <si>
    <t>Chemical fertilizer loading (%)</t>
  </si>
  <si>
    <t>N2O Fert (t)</t>
  </si>
  <si>
    <t>CO2e Fert (Gg)</t>
  </si>
  <si>
    <t>CROP BURN (Gg CO2e)</t>
  </si>
  <si>
    <t>CHEMICAL FERTILIZER (Gg CO2e)</t>
  </si>
  <si>
    <t>BAU</t>
  </si>
  <si>
    <t>ER</t>
  </si>
  <si>
    <t>Food</t>
  </si>
  <si>
    <t>Garden</t>
  </si>
  <si>
    <t>Paper</t>
  </si>
  <si>
    <t>MSW</t>
  </si>
  <si>
    <t>Quantity composted (%)</t>
  </si>
  <si>
    <t>Organic waste composted(Gg)</t>
  </si>
  <si>
    <t>Compost (Gg)</t>
  </si>
  <si>
    <t>Organic waste to compost</t>
  </si>
  <si>
    <t>Nitrogen content in compost</t>
  </si>
  <si>
    <t>N in compost (kg)</t>
  </si>
  <si>
    <t>tCO2e</t>
  </si>
  <si>
    <t>(Gg)</t>
  </si>
  <si>
    <t>Biofarming - GgCO2e</t>
  </si>
  <si>
    <t>Total+change</t>
  </si>
  <si>
    <t>Emissions scenarios through policy interventions: (1) reducing chemical fertilizer inputs by 75% by 2030; (2) biofarming with composting from MSW</t>
  </si>
  <si>
    <t>Reduced fertilizer (KgN/yr)</t>
  </si>
  <si>
    <t>CropResidues (kgN/yr)</t>
  </si>
  <si>
    <t>Manure</t>
  </si>
  <si>
    <t>N2O Vol</t>
  </si>
  <si>
    <t>N2O leached</t>
  </si>
  <si>
    <t>CO2e Vol</t>
  </si>
  <si>
    <t>CO2e leached</t>
  </si>
  <si>
    <t>This scenario includes the combination of reduced chemical fertilizers &amp; use of compost generated from MSW</t>
  </si>
  <si>
    <t>CO2e Total (Gg)</t>
  </si>
  <si>
    <t>Direct N2O</t>
  </si>
  <si>
    <t>Change (Gg)</t>
  </si>
  <si>
    <t>Indirect N2O</t>
  </si>
  <si>
    <t>TotalDirN2O-Change</t>
  </si>
  <si>
    <t>Total ER</t>
  </si>
  <si>
    <t>GgCO2e</t>
  </si>
  <si>
    <t>Enteric</t>
  </si>
  <si>
    <t>reduction</t>
  </si>
  <si>
    <t>Business as usual up to 2050</t>
  </si>
  <si>
    <t>species</t>
  </si>
  <si>
    <t>technology</t>
  </si>
  <si>
    <t>manure management system</t>
  </si>
  <si>
    <t>Dairy</t>
  </si>
  <si>
    <t>imported beef</t>
  </si>
  <si>
    <t>goat</t>
  </si>
  <si>
    <t xml:space="preserve">sheep </t>
  </si>
  <si>
    <t>broilers</t>
  </si>
  <si>
    <t>layers</t>
  </si>
  <si>
    <t>duck</t>
  </si>
  <si>
    <t xml:space="preserve">pig </t>
  </si>
  <si>
    <t>deer</t>
  </si>
  <si>
    <t>biogas</t>
  </si>
  <si>
    <t xml:space="preserve">Anaerobic digester </t>
  </si>
  <si>
    <t>fertigation</t>
  </si>
  <si>
    <t>Composting</t>
  </si>
  <si>
    <t>poultry with litter</t>
  </si>
  <si>
    <t>Poultry without litter</t>
  </si>
  <si>
    <t>Not available</t>
  </si>
  <si>
    <t>pasture /range /paddock</t>
  </si>
  <si>
    <t>with policy 2050</t>
  </si>
  <si>
    <t>with policy 2040</t>
  </si>
  <si>
    <t>with policy 2030</t>
  </si>
  <si>
    <t>with policy 2020</t>
  </si>
  <si>
    <t>projected with policy</t>
  </si>
  <si>
    <t>Production (heads)</t>
  </si>
  <si>
    <t>Cow</t>
  </si>
  <si>
    <t>Other cattle</t>
  </si>
  <si>
    <t>Imported beef (annualised figure)</t>
  </si>
  <si>
    <t>Broiler (annualised figure)</t>
  </si>
  <si>
    <t>layer</t>
  </si>
  <si>
    <t>Deer (under paddock system)</t>
  </si>
  <si>
    <t>Business as usual</t>
  </si>
  <si>
    <t>BAU - Livestock Management, Gg CO2e</t>
  </si>
  <si>
    <t>Policy - Livestock management, Gg CO2e</t>
  </si>
  <si>
    <t>LMMCH4</t>
  </si>
  <si>
    <t>LMMN2O</t>
  </si>
  <si>
    <t>LMM - Livestock Manure Management</t>
  </si>
  <si>
    <t>BAU - CO2e from enteric fermentation, Gg/yr</t>
  </si>
  <si>
    <t>Policy - CO2e from enteric fermentation, Gg/yr</t>
  </si>
  <si>
    <t>layer + duck</t>
  </si>
  <si>
    <t>Parameters for dairy cow and other cattle</t>
  </si>
  <si>
    <t>aerobic treatment</t>
  </si>
  <si>
    <t>pasture</t>
  </si>
  <si>
    <t>Emission factors, kgN2O</t>
  </si>
  <si>
    <t>ManMgtN2O - dairy cow</t>
  </si>
  <si>
    <t>Cow Dairy</t>
  </si>
  <si>
    <t>Imp bull</t>
  </si>
  <si>
    <t>Local bull</t>
  </si>
  <si>
    <t>dry lot - imp beef</t>
  </si>
  <si>
    <t>ManMgtN2O - other cattle</t>
  </si>
  <si>
    <t>ManMgtN2O - imported beef</t>
  </si>
  <si>
    <t>MMN - other + imported cattle</t>
  </si>
  <si>
    <t>ManMgtN2O - pig</t>
  </si>
  <si>
    <t>anaerobic treatment</t>
  </si>
  <si>
    <t>Parameters for pigs</t>
  </si>
  <si>
    <t>boars</t>
  </si>
  <si>
    <t>sows/gilts</t>
  </si>
  <si>
    <t>piglets</t>
  </si>
  <si>
    <t>fatteners</t>
  </si>
  <si>
    <t>- used breakdown from 2013</t>
  </si>
  <si>
    <t>heads</t>
  </si>
  <si>
    <t>Anaerobic digester</t>
  </si>
  <si>
    <t>- not calculated since emission factor is zero</t>
  </si>
  <si>
    <t>BAU - CO2e emissions from livestock manure management, Gg/yr</t>
  </si>
  <si>
    <t>Policy scenario - CO2e emissions from livestock manure management, Gg/yr</t>
  </si>
  <si>
    <t>LAYER + DUCK</t>
  </si>
  <si>
    <t>anaerobic disgest</t>
  </si>
  <si>
    <t>Full policy scenario (i.e. change in number of heads &amp; technological change)</t>
  </si>
  <si>
    <t>Partial policy scenario (i.e. change in number of heads with no technological change)</t>
  </si>
  <si>
    <t>BAU - CO2e emissions from livestock manure, Gg/yr</t>
  </si>
  <si>
    <t>Policy scenario - CO2e emissions from livestock manure, Gg/yr</t>
  </si>
  <si>
    <t>Parameters for swine</t>
  </si>
  <si>
    <t>Policy scenario without technological change - CO2e emissions from livestock manure, Gg/yr</t>
  </si>
  <si>
    <t>Policy with MMS unchanged, Gg CO2e</t>
  </si>
  <si>
    <t>- annual increase in chemical fertiliser use between 2013 and 2020</t>
  </si>
  <si>
    <t>Nex</t>
  </si>
  <si>
    <t>N</t>
  </si>
  <si>
    <t>For 2013</t>
  </si>
  <si>
    <t>kgN/yr</t>
  </si>
  <si>
    <t>PRP - SO</t>
  </si>
  <si>
    <t>PRP-CPP</t>
  </si>
  <si>
    <t>fon</t>
  </si>
  <si>
    <t>PRP-SO</t>
  </si>
  <si>
    <t>Total (BAU)</t>
  </si>
  <si>
    <t>DirN2OManSoilPol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</si>
</sst>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000"/>
    <numFmt numFmtId="165" formatCode="0.000"/>
    <numFmt numFmtId="166" formatCode="#,##0.000"/>
    <numFmt numFmtId="167" formatCode="#,##0.0"/>
    <numFmt numFmtId="168" formatCode="_-* #,##0.00_-;\-* #,##0.00_-;_-* &quot;-&quot;??_-;_-@_-"/>
    <numFmt numFmtId="169" formatCode="_-* #,##0_-;\-* #,##0_-;_-* &quot;-&quot;??_-;_-@_-"/>
    <numFmt numFmtId="170" formatCode="0.0000"/>
    <numFmt numFmtId="171" formatCode="_(* #,##0_);_(* \(#,##0\);_(* &quot;-&quot;??_);_(@_)"/>
    <numFmt numFmtId="172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70C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3">
    <xf numFmtId="0" fontId="0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9" fontId="0" fillId="0" borderId="0" xfId="0" applyNumberFormat="1" applyAlignment="1">
      <alignment horizontal="center"/>
    </xf>
    <xf numFmtId="3" fontId="0" fillId="0" borderId="0" xfId="0" applyNumberFormat="1"/>
    <xf numFmtId="0" fontId="0" fillId="0" borderId="2" xfId="0" applyFont="1" applyBorder="1"/>
    <xf numFmtId="0" fontId="0" fillId="0" borderId="2" xfId="0" applyFont="1" applyBorder="1" applyAlignment="1">
      <alignment wrapText="1"/>
    </xf>
    <xf numFmtId="9" fontId="0" fillId="0" borderId="3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4" borderId="4" xfId="0" applyFont="1" applyFill="1" applyBorder="1"/>
    <xf numFmtId="0" fontId="0" fillId="4" borderId="5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4" borderId="4" xfId="0" applyFont="1" applyFill="1" applyBorder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9" fontId="0" fillId="0" borderId="0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Alignment="1"/>
    <xf numFmtId="0" fontId="1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3" fontId="7" fillId="5" borderId="6" xfId="0" applyNumberFormat="1" applyFont="1" applyFill="1" applyBorder="1"/>
    <xf numFmtId="0" fontId="7" fillId="5" borderId="6" xfId="0" applyFont="1" applyFill="1" applyBorder="1"/>
    <xf numFmtId="9" fontId="8" fillId="5" borderId="6" xfId="0" applyNumberFormat="1" applyFont="1" applyFill="1" applyBorder="1"/>
    <xf numFmtId="0" fontId="7" fillId="5" borderId="6" xfId="0" applyFont="1" applyFill="1" applyBorder="1" applyAlignment="1">
      <alignment horizontal="right"/>
    </xf>
    <xf numFmtId="0" fontId="8" fillId="5" borderId="6" xfId="0" applyFont="1" applyFill="1" applyBorder="1"/>
    <xf numFmtId="0" fontId="9" fillId="0" borderId="0" xfId="0" applyFont="1"/>
    <xf numFmtId="169" fontId="7" fillId="5" borderId="6" xfId="1" applyNumberFormat="1" applyFont="1" applyFill="1" applyBorder="1"/>
    <xf numFmtId="1" fontId="7" fillId="5" borderId="6" xfId="0" applyNumberFormat="1" applyFont="1" applyFill="1" applyBorder="1" applyAlignment="1">
      <alignment horizontal="right" vertical="center"/>
    </xf>
    <xf numFmtId="1" fontId="7" fillId="5" borderId="6" xfId="0" applyNumberFormat="1" applyFont="1" applyFill="1" applyBorder="1"/>
    <xf numFmtId="1" fontId="8" fillId="5" borderId="6" xfId="0" applyNumberFormat="1" applyFont="1" applyFill="1" applyBorder="1" applyAlignment="1">
      <alignment horizontal="right" vertical="center"/>
    </xf>
    <xf numFmtId="1" fontId="8" fillId="5" borderId="6" xfId="0" applyNumberFormat="1" applyFont="1" applyFill="1" applyBorder="1"/>
    <xf numFmtId="1" fontId="7" fillId="5" borderId="6" xfId="0" applyNumberFormat="1" applyFont="1" applyFill="1" applyBorder="1" applyAlignment="1">
      <alignment horizontal="center"/>
    </xf>
    <xf numFmtId="0" fontId="10" fillId="0" borderId="0" xfId="0" applyFont="1"/>
    <xf numFmtId="0" fontId="7" fillId="0" borderId="0" xfId="0" applyFont="1"/>
    <xf numFmtId="0" fontId="7" fillId="5" borderId="6" xfId="0" applyFont="1" applyFill="1" applyBorder="1" applyAlignment="1">
      <alignment wrapText="1"/>
    </xf>
    <xf numFmtId="169" fontId="8" fillId="5" borderId="6" xfId="1" applyNumberFormat="1" applyFont="1" applyFill="1" applyBorder="1"/>
    <xf numFmtId="0" fontId="7" fillId="5" borderId="6" xfId="0" applyFont="1" applyFill="1" applyBorder="1" applyAlignment="1">
      <alignment horizontal="right" vertical="center"/>
    </xf>
    <xf numFmtId="0" fontId="11" fillId="0" borderId="6" xfId="0" applyFont="1" applyBorder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167" fontId="0" fillId="7" borderId="0" xfId="0" applyNumberFormat="1" applyFill="1"/>
    <xf numFmtId="167" fontId="0" fillId="0" borderId="0" xfId="0" applyNumberFormat="1" applyFill="1"/>
    <xf numFmtId="167" fontId="0" fillId="9" borderId="0" xfId="0" applyNumberFormat="1" applyFill="1"/>
    <xf numFmtId="0" fontId="0" fillId="0" borderId="6" xfId="0" applyFont="1" applyBorder="1"/>
    <xf numFmtId="0" fontId="13" fillId="0" borderId="6" xfId="0" applyFont="1" applyBorder="1" applyAlignment="1">
      <alignment wrapText="1"/>
    </xf>
    <xf numFmtId="0" fontId="13" fillId="0" borderId="6" xfId="0" applyFont="1" applyBorder="1" applyAlignment="1"/>
    <xf numFmtId="0" fontId="13" fillId="0" borderId="6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6" xfId="0" applyFont="1" applyBorder="1" applyAlignment="1"/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0" fillId="0" borderId="6" xfId="0" applyFont="1" applyBorder="1"/>
    <xf numFmtId="0" fontId="10" fillId="8" borderId="6" xfId="0" applyFont="1" applyFill="1" applyBorder="1" applyAlignment="1">
      <alignment horizontal="center"/>
    </xf>
    <xf numFmtId="0" fontId="10" fillId="8" borderId="6" xfId="0" applyFont="1" applyFill="1" applyBorder="1"/>
    <xf numFmtId="0" fontId="0" fillId="10" borderId="6" xfId="0" applyFill="1" applyBorder="1" applyAlignment="1">
      <alignment horizontal="center"/>
    </xf>
    <xf numFmtId="0" fontId="0" fillId="10" borderId="6" xfId="0" applyFill="1" applyBorder="1"/>
    <xf numFmtId="0" fontId="0" fillId="11" borderId="6" xfId="0" applyFill="1" applyBorder="1" applyAlignment="1">
      <alignment horizontal="center"/>
    </xf>
    <xf numFmtId="0" fontId="0" fillId="11" borderId="6" xfId="0" applyFill="1" applyBorder="1"/>
    <xf numFmtId="0" fontId="0" fillId="12" borderId="6" xfId="0" applyFill="1" applyBorder="1" applyAlignment="1">
      <alignment horizontal="center"/>
    </xf>
    <xf numFmtId="0" fontId="0" fillId="12" borderId="6" xfId="0" applyFill="1" applyBorder="1"/>
    <xf numFmtId="0" fontId="0" fillId="8" borderId="6" xfId="0" applyFill="1" applyBorder="1"/>
    <xf numFmtId="0" fontId="0" fillId="5" borderId="6" xfId="0" applyFill="1" applyBorder="1"/>
    <xf numFmtId="0" fontId="0" fillId="5" borderId="0" xfId="0" applyFill="1"/>
    <xf numFmtId="0" fontId="10" fillId="5" borderId="6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7" borderId="6" xfId="0" applyFont="1" applyFill="1" applyBorder="1" applyAlignment="1">
      <alignment horizontal="right"/>
    </xf>
    <xf numFmtId="0" fontId="0" fillId="3" borderId="0" xfId="0" applyFill="1"/>
    <xf numFmtId="170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170" fontId="0" fillId="13" borderId="0" xfId="0" applyNumberFormat="1" applyFill="1"/>
    <xf numFmtId="0" fontId="0" fillId="0" borderId="0" xfId="0" applyBorder="1" applyAlignment="1">
      <alignment horizontal="center"/>
    </xf>
    <xf numFmtId="0" fontId="15" fillId="0" borderId="6" xfId="0" applyFont="1" applyBorder="1"/>
    <xf numFmtId="170" fontId="0" fillId="0" borderId="0" xfId="0" applyNumberFormat="1" applyFill="1"/>
    <xf numFmtId="0" fontId="0" fillId="0" borderId="0" xfId="0" applyAlignment="1">
      <alignment horizontal="right"/>
    </xf>
    <xf numFmtId="0" fontId="1" fillId="0" borderId="0" xfId="0" applyFont="1" applyFill="1" applyBorder="1"/>
    <xf numFmtId="0" fontId="0" fillId="0" borderId="10" xfId="0" applyFill="1" applyBorder="1"/>
    <xf numFmtId="0" fontId="1" fillId="0" borderId="10" xfId="0" applyFont="1" applyFill="1" applyBorder="1"/>
    <xf numFmtId="170" fontId="0" fillId="5" borderId="0" xfId="0" applyNumberFormat="1" applyFill="1"/>
    <xf numFmtId="0" fontId="0" fillId="11" borderId="0" xfId="0" applyFill="1"/>
    <xf numFmtId="0" fontId="1" fillId="11" borderId="0" xfId="0" applyFont="1" applyFill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7" borderId="0" xfId="0" applyFont="1" applyFill="1"/>
    <xf numFmtId="0" fontId="0" fillId="7" borderId="0" xfId="0" applyFill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9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14" borderId="0" xfId="0" applyFont="1" applyFill="1"/>
    <xf numFmtId="0" fontId="1" fillId="0" borderId="0" xfId="0" applyFont="1" applyFill="1" applyAlignment="1">
      <alignment horizontal="center"/>
    </xf>
    <xf numFmtId="0" fontId="0" fillId="4" borderId="1" xfId="0" applyFont="1" applyFill="1" applyBorder="1"/>
    <xf numFmtId="0" fontId="0" fillId="0" borderId="1" xfId="0" applyFont="1" applyBorder="1"/>
    <xf numFmtId="0" fontId="0" fillId="15" borderId="0" xfId="0" applyFill="1"/>
    <xf numFmtId="167" fontId="0" fillId="15" borderId="0" xfId="0" applyNumberFormat="1" applyFill="1"/>
    <xf numFmtId="166" fontId="0" fillId="15" borderId="0" xfId="0" applyNumberFormat="1" applyFill="1"/>
    <xf numFmtId="164" fontId="0" fillId="15" borderId="0" xfId="0" applyNumberFormat="1" applyFill="1"/>
    <xf numFmtId="0" fontId="0" fillId="0" borderId="0" xfId="0" applyAlignment="1">
      <alignment horizontal="center"/>
    </xf>
    <xf numFmtId="0" fontId="0" fillId="16" borderId="0" xfId="0" applyFill="1"/>
    <xf numFmtId="0" fontId="1" fillId="16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 wrapText="1"/>
    </xf>
    <xf numFmtId="0" fontId="0" fillId="17" borderId="0" xfId="0" applyFill="1"/>
    <xf numFmtId="0" fontId="1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 wrapText="1"/>
    </xf>
    <xf numFmtId="0" fontId="0" fillId="18" borderId="1" xfId="0" applyFont="1" applyFill="1" applyBorder="1"/>
    <xf numFmtId="0" fontId="0" fillId="17" borderId="1" xfId="0" applyFont="1" applyFill="1" applyBorder="1"/>
    <xf numFmtId="10" fontId="0" fillId="0" borderId="0" xfId="0" applyNumberFormat="1"/>
    <xf numFmtId="0" fontId="1" fillId="19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center" vertical="center"/>
    </xf>
    <xf numFmtId="0" fontId="0" fillId="19" borderId="0" xfId="0" applyFill="1"/>
    <xf numFmtId="9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0" fillId="20" borderId="0" xfId="0" applyFill="1"/>
    <xf numFmtId="0" fontId="1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 wrapText="1"/>
    </xf>
    <xf numFmtId="0" fontId="1" fillId="20" borderId="0" xfId="0" applyFont="1" applyFill="1"/>
    <xf numFmtId="0" fontId="1" fillId="0" borderId="0" xfId="0" applyFont="1" applyAlignment="1">
      <alignment wrapText="1"/>
    </xf>
    <xf numFmtId="0" fontId="1" fillId="21" borderId="0" xfId="0" applyFont="1" applyFill="1" applyAlignment="1">
      <alignment horizontal="center"/>
    </xf>
    <xf numFmtId="0" fontId="0" fillId="21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9" fillId="8" borderId="6" xfId="0" applyFont="1" applyFill="1" applyBorder="1" applyAlignment="1">
      <alignment horizontal="right"/>
    </xf>
    <xf numFmtId="171" fontId="3" fillId="0" borderId="6" xfId="2" applyNumberFormat="1" applyFont="1" applyBorder="1"/>
    <xf numFmtId="171" fontId="0" fillId="0" borderId="6" xfId="0" applyNumberFormat="1" applyBorder="1"/>
    <xf numFmtId="0" fontId="1" fillId="0" borderId="0" xfId="0" applyFont="1" applyFill="1" applyAlignment="1">
      <alignment horizontal="center"/>
    </xf>
    <xf numFmtId="0" fontId="19" fillId="8" borderId="6" xfId="0" applyFont="1" applyFill="1" applyBorder="1"/>
    <xf numFmtId="0" fontId="19" fillId="0" borderId="6" xfId="0" applyFont="1" applyBorder="1"/>
    <xf numFmtId="0" fontId="19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19" fillId="0" borderId="6" xfId="0" applyNumberFormat="1" applyFont="1" applyBorder="1"/>
    <xf numFmtId="0" fontId="19" fillId="22" borderId="6" xfId="0" applyFont="1" applyFill="1" applyBorder="1"/>
    <xf numFmtId="3" fontId="19" fillId="22" borderId="6" xfId="0" applyNumberFormat="1" applyFont="1" applyFill="1" applyBorder="1" applyAlignment="1">
      <alignment horizontal="right"/>
    </xf>
    <xf numFmtId="3" fontId="19" fillId="22" borderId="6" xfId="0" applyNumberFormat="1" applyFont="1" applyFill="1" applyBorder="1"/>
    <xf numFmtId="0" fontId="19" fillId="22" borderId="6" xfId="0" applyFont="1" applyFill="1" applyBorder="1" applyAlignment="1">
      <alignment horizontal="right"/>
    </xf>
    <xf numFmtId="0" fontId="20" fillId="22" borderId="6" xfId="0" applyFont="1" applyFill="1" applyBorder="1"/>
    <xf numFmtId="0" fontId="0" fillId="0" borderId="6" xfId="0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0" fontId="0" fillId="2" borderId="0" xfId="0" applyFill="1"/>
    <xf numFmtId="0" fontId="0" fillId="0" borderId="0" xfId="0" quotePrefix="1"/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0" fontId="20" fillId="23" borderId="0" xfId="0" applyFont="1" applyFill="1" applyBorder="1"/>
    <xf numFmtId="0" fontId="19" fillId="23" borderId="0" xfId="0" applyFont="1" applyFill="1" applyBorder="1" applyAlignment="1">
      <alignment horizontal="right"/>
    </xf>
    <xf numFmtId="0" fontId="1" fillId="23" borderId="0" xfId="0" applyFont="1" applyFill="1"/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Font="1" applyFill="1" applyBorder="1"/>
    <xf numFmtId="0" fontId="0" fillId="4" borderId="11" xfId="0" applyFont="1" applyFill="1" applyBorder="1"/>
    <xf numFmtId="1" fontId="0" fillId="0" borderId="0" xfId="0" applyNumberFormat="1"/>
    <xf numFmtId="3" fontId="0" fillId="8" borderId="0" xfId="0" applyNumberFormat="1" applyFill="1"/>
    <xf numFmtId="0" fontId="0" fillId="8" borderId="0" xfId="0" applyFill="1"/>
    <xf numFmtId="172" fontId="0" fillId="0" borderId="0" xfId="0" applyNumberFormat="1"/>
    <xf numFmtId="0" fontId="1" fillId="11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0" borderId="0" xfId="0" applyFont="1" applyFill="1" applyAlignment="1">
      <alignment horizontal="center" wrapText="1"/>
    </xf>
    <xf numFmtId="0" fontId="1" fillId="17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3">
    <cellStyle name="Comma" xfId="2" builtinId="3"/>
    <cellStyle name="Comma 2" xfId="1"/>
    <cellStyle name="Normal" xfId="0" builtinId="0"/>
  </cellStyles>
  <dxfs count="6">
    <dxf>
      <alignment horizontal="general" vertical="bottom" textRotation="0" wrapText="1" indent="0" justifyLastLine="0" shrinkToFit="0" readingOrder="0"/>
    </dxf>
    <dxf>
      <numFmt numFmtId="165" formatCode="0.000"/>
    </dxf>
    <dxf>
      <numFmt numFmtId="164" formatCode="#,##0.000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19549133456786"/>
          <c:y val="0.15325240594925635"/>
          <c:w val="0.77520581802274713"/>
          <c:h val="0.73444808982210552"/>
        </c:manualLayout>
      </c:layout>
      <c:scatterChart>
        <c:scatterStyle val="lineMarker"/>
        <c:varyColors val="0"/>
        <c:ser>
          <c:idx val="0"/>
          <c:order val="0"/>
          <c:tx>
            <c:v>BAU - Crop burn</c:v>
          </c:tx>
          <c:marker>
            <c:symbol val="none"/>
          </c:marker>
          <c:xVal>
            <c:numRef>
              <c:f>CropBurn!$A$17:$A$45</c:f>
              <c:numCache>
                <c:formatCode>General</c:formatCode>
                <c:ptCount val="2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2035</c:v>
                </c:pt>
                <c:pt idx="26">
                  <c:v>2040</c:v>
                </c:pt>
                <c:pt idx="27">
                  <c:v>2045</c:v>
                </c:pt>
                <c:pt idx="28">
                  <c:v>2050</c:v>
                </c:pt>
              </c:numCache>
            </c:numRef>
          </c:xVal>
          <c:yVal>
            <c:numRef>
              <c:f>CropBurn!$E$17:$E$45</c:f>
              <c:numCache>
                <c:formatCode>0.000</c:formatCode>
                <c:ptCount val="29"/>
                <c:pt idx="0">
                  <c:v>3.1063500000000004</c:v>
                </c:pt>
                <c:pt idx="1">
                  <c:v>3.0063149999999998</c:v>
                </c:pt>
                <c:pt idx="2">
                  <c:v>2.8711800000000003</c:v>
                </c:pt>
                <c:pt idx="3">
                  <c:v>2.8891687500000001</c:v>
                </c:pt>
                <c:pt idx="4">
                  <c:v>2.8137037500000002</c:v>
                </c:pt>
                <c:pt idx="5">
                  <c:v>2.70840375</c:v>
                </c:pt>
                <c:pt idx="6">
                  <c:v>2.507895</c:v>
                </c:pt>
                <c:pt idx="7">
                  <c:v>2.4773580000000006</c:v>
                </c:pt>
                <c:pt idx="8">
                  <c:v>2.2241992500000007</c:v>
                </c:pt>
                <c:pt idx="9">
                  <c:v>2.2984796250000006</c:v>
                </c:pt>
                <c:pt idx="10">
                  <c:v>2.2814999999999999</c:v>
                </c:pt>
                <c:pt idx="11">
                  <c:v>2.237625</c:v>
                </c:pt>
                <c:pt idx="12">
                  <c:v>2.2156875</c:v>
                </c:pt>
                <c:pt idx="13">
                  <c:v>2.1937500000000001</c:v>
                </c:pt>
                <c:pt idx="14">
                  <c:v>2.1718125000000001</c:v>
                </c:pt>
                <c:pt idx="15">
                  <c:v>2.1498750000000002</c:v>
                </c:pt>
                <c:pt idx="16">
                  <c:v>2.1279374999999998</c:v>
                </c:pt>
                <c:pt idx="17">
                  <c:v>2.1059999999999999</c:v>
                </c:pt>
                <c:pt idx="18">
                  <c:v>2.0840624999999999</c:v>
                </c:pt>
                <c:pt idx="19">
                  <c:v>2.062125</c:v>
                </c:pt>
                <c:pt idx="20">
                  <c:v>2.0401875</c:v>
                </c:pt>
                <c:pt idx="21">
                  <c:v>2.0182500000000001</c:v>
                </c:pt>
                <c:pt idx="22">
                  <c:v>1.9963125000000002</c:v>
                </c:pt>
                <c:pt idx="23">
                  <c:v>1.9853437499999997</c:v>
                </c:pt>
                <c:pt idx="24">
                  <c:v>1.9743749999999998</c:v>
                </c:pt>
                <c:pt idx="25">
                  <c:v>1.9305000000000001</c:v>
                </c:pt>
                <c:pt idx="26">
                  <c:v>1.886625</c:v>
                </c:pt>
                <c:pt idx="27">
                  <c:v>1.8427499999999997</c:v>
                </c:pt>
                <c:pt idx="28">
                  <c:v>1.7549999999999999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CropBurn!$A$17:$A$45</c:f>
              <c:numCache>
                <c:formatCode>General</c:formatCode>
                <c:ptCount val="2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2035</c:v>
                </c:pt>
                <c:pt idx="26">
                  <c:v>2040</c:v>
                </c:pt>
                <c:pt idx="27">
                  <c:v>2045</c:v>
                </c:pt>
                <c:pt idx="28">
                  <c:v>2050</c:v>
                </c:pt>
              </c:numCache>
            </c:numRef>
          </c:xVal>
          <c:yVal>
            <c:numRef>
              <c:f>CropBurn!$I$17:$I$45</c:f>
              <c:numCache>
                <c:formatCode>0.000</c:formatCode>
                <c:ptCount val="29"/>
                <c:pt idx="0">
                  <c:v>3.1063500000000004</c:v>
                </c:pt>
                <c:pt idx="1">
                  <c:v>3.0063149999999998</c:v>
                </c:pt>
                <c:pt idx="2">
                  <c:v>2.8711800000000003</c:v>
                </c:pt>
                <c:pt idx="3">
                  <c:v>2.8891687500000001</c:v>
                </c:pt>
                <c:pt idx="4">
                  <c:v>2.8137037500000002</c:v>
                </c:pt>
                <c:pt idx="5">
                  <c:v>2.70840375</c:v>
                </c:pt>
                <c:pt idx="6">
                  <c:v>2.507895</c:v>
                </c:pt>
                <c:pt idx="7">
                  <c:v>2.4773580000000006</c:v>
                </c:pt>
                <c:pt idx="8">
                  <c:v>2.2241992500000007</c:v>
                </c:pt>
                <c:pt idx="9">
                  <c:v>2.2984796250000006</c:v>
                </c:pt>
                <c:pt idx="10">
                  <c:v>2.2814999999999999</c:v>
                </c:pt>
                <c:pt idx="11">
                  <c:v>2.237625</c:v>
                </c:pt>
                <c:pt idx="12">
                  <c:v>2.2156875</c:v>
                </c:pt>
                <c:pt idx="13">
                  <c:v>2.1937500000000001</c:v>
                </c:pt>
                <c:pt idx="14">
                  <c:v>1.7374499999999999</c:v>
                </c:pt>
                <c:pt idx="15">
                  <c:v>1.7199</c:v>
                </c:pt>
                <c:pt idx="16">
                  <c:v>1.7023499999999998</c:v>
                </c:pt>
                <c:pt idx="17">
                  <c:v>1.6847999999999999</c:v>
                </c:pt>
                <c:pt idx="18">
                  <c:v>1.6672499999999999</c:v>
                </c:pt>
                <c:pt idx="19">
                  <c:v>1.6496999999999999</c:v>
                </c:pt>
                <c:pt idx="20">
                  <c:v>1.63215</c:v>
                </c:pt>
                <c:pt idx="21">
                  <c:v>1.6146</c:v>
                </c:pt>
                <c:pt idx="22">
                  <c:v>1.5970500000000001</c:v>
                </c:pt>
                <c:pt idx="23">
                  <c:v>1.5882750000000001</c:v>
                </c:pt>
                <c:pt idx="24">
                  <c:v>1.5795000000000001</c:v>
                </c:pt>
                <c:pt idx="25">
                  <c:v>1.3513500000000003</c:v>
                </c:pt>
                <c:pt idx="26">
                  <c:v>1.1319750000000002</c:v>
                </c:pt>
                <c:pt idx="27">
                  <c:v>1.0135125</c:v>
                </c:pt>
                <c:pt idx="28">
                  <c:v>0.87749999999999995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87200"/>
        <c:axId val="114446720"/>
      </c:scatterChart>
      <c:valAx>
        <c:axId val="114387200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none"/>
        <c:minorTickMark val="none"/>
        <c:tickLblPos val="nextTo"/>
        <c:crossAx val="114446720"/>
        <c:crosses val="autoZero"/>
        <c:crossBetween val="midCat"/>
      </c:valAx>
      <c:valAx>
        <c:axId val="114446720"/>
        <c:scaling>
          <c:orientation val="minMax"/>
        </c:scaling>
        <c:delete val="0"/>
        <c:axPos val="l"/>
        <c:majorGridlines/>
        <c:title>
          <c:overlay val="0"/>
        </c:title>
        <c:numFmt formatCode="0.000" sourceLinked="1"/>
        <c:majorTickMark val="none"/>
        <c:minorTickMark val="none"/>
        <c:tickLblPos val="nextTo"/>
        <c:crossAx val="114387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34942014042639"/>
          <c:y val="0.10057835112579876"/>
          <c:w val="0.78613543610509673"/>
          <c:h val="0.74466977337771678"/>
        </c:manualLayout>
      </c:layout>
      <c:scatterChart>
        <c:scatterStyle val="lineMarker"/>
        <c:varyColors val="0"/>
        <c:ser>
          <c:idx val="3"/>
          <c:order val="0"/>
          <c:tx>
            <c:v>BAU (Crop)</c:v>
          </c:tx>
          <c:spPr>
            <a:ln w="19050"/>
          </c:spPr>
          <c:marker>
            <c:symbol val="none"/>
          </c:marker>
          <c:xVal>
            <c:numRef>
              <c:f>CropScenarios!$A$5:$A$33</c:f>
              <c:numCache>
                <c:formatCode>General</c:formatCode>
                <c:ptCount val="2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2035</c:v>
                </c:pt>
                <c:pt idx="26">
                  <c:v>2040</c:v>
                </c:pt>
                <c:pt idx="27">
                  <c:v>2045</c:v>
                </c:pt>
                <c:pt idx="28">
                  <c:v>2050</c:v>
                </c:pt>
              </c:numCache>
            </c:numRef>
          </c:xVal>
          <c:yVal>
            <c:numRef>
              <c:f>CropScenarios!$E$5:$E$33</c:f>
              <c:numCache>
                <c:formatCode>General</c:formatCode>
                <c:ptCount val="29"/>
                <c:pt idx="0">
                  <c:v>86.594090858581723</c:v>
                </c:pt>
                <c:pt idx="1">
                  <c:v>84.343730455723431</c:v>
                </c:pt>
                <c:pt idx="2">
                  <c:v>80.00054059468512</c:v>
                </c:pt>
                <c:pt idx="3">
                  <c:v>78.085552198145763</c:v>
                </c:pt>
                <c:pt idx="4">
                  <c:v>86.797343125771135</c:v>
                </c:pt>
                <c:pt idx="5">
                  <c:v>88.477026879839585</c:v>
                </c:pt>
                <c:pt idx="6">
                  <c:v>98.480886477133595</c:v>
                </c:pt>
                <c:pt idx="7">
                  <c:v>99.647773755615717</c:v>
                </c:pt>
                <c:pt idx="8">
                  <c:v>100.9151182068469</c:v>
                </c:pt>
                <c:pt idx="9">
                  <c:v>102.53463965565194</c:v>
                </c:pt>
                <c:pt idx="10">
                  <c:v>103.85581191572899</c:v>
                </c:pt>
                <c:pt idx="11">
                  <c:v>105.17582608343191</c:v>
                </c:pt>
                <c:pt idx="12">
                  <c:v>106.54402977941318</c:v>
                </c:pt>
                <c:pt idx="13">
                  <c:v>107.93901054423837</c:v>
                </c:pt>
                <c:pt idx="14">
                  <c:v>109.36130391928437</c:v>
                </c:pt>
                <c:pt idx="15">
                  <c:v>109.41652934115204</c:v>
                </c:pt>
                <c:pt idx="16">
                  <c:v>109.47175476301975</c:v>
                </c:pt>
                <c:pt idx="17">
                  <c:v>109.52698018488745</c:v>
                </c:pt>
                <c:pt idx="18">
                  <c:v>109.58220560675514</c:v>
                </c:pt>
                <c:pt idx="19">
                  <c:v>109.63743102862283</c:v>
                </c:pt>
                <c:pt idx="20">
                  <c:v>109.66094147260598</c:v>
                </c:pt>
                <c:pt idx="21">
                  <c:v>109.68445191658914</c:v>
                </c:pt>
                <c:pt idx="22">
                  <c:v>109.70796236057232</c:v>
                </c:pt>
                <c:pt idx="23">
                  <c:v>109.74244155455548</c:v>
                </c:pt>
                <c:pt idx="24">
                  <c:v>109.77692074853864</c:v>
                </c:pt>
                <c:pt idx="25">
                  <c:v>110.2461491625491</c:v>
                </c:pt>
                <c:pt idx="26">
                  <c:v>110.71338356517039</c:v>
                </c:pt>
                <c:pt idx="27">
                  <c:v>111.25484127060588</c:v>
                </c:pt>
                <c:pt idx="28">
                  <c:v>111.75242397604137</c:v>
                </c:pt>
              </c:numCache>
            </c:numRef>
          </c:yVal>
          <c:smooth val="0"/>
        </c:ser>
        <c:ser>
          <c:idx val="0"/>
          <c:order val="1"/>
          <c:tx>
            <c:v>Decreasing field burning</c:v>
          </c:tx>
          <c:spPr>
            <a:ln w="19050"/>
          </c:spPr>
          <c:marker>
            <c:symbol val="none"/>
          </c:marker>
          <c:xVal>
            <c:numRef>
              <c:f>CropScenarios!$A$5:$A$33</c:f>
              <c:numCache>
                <c:formatCode>General</c:formatCode>
                <c:ptCount val="2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2035</c:v>
                </c:pt>
                <c:pt idx="26">
                  <c:v>2040</c:v>
                </c:pt>
                <c:pt idx="27">
                  <c:v>2045</c:v>
                </c:pt>
                <c:pt idx="28">
                  <c:v>2050</c:v>
                </c:pt>
              </c:numCache>
            </c:numRef>
          </c:xVal>
          <c:yVal>
            <c:numRef>
              <c:f>CropScenarios!$I$5:$I$33</c:f>
              <c:numCache>
                <c:formatCode>General</c:formatCode>
                <c:ptCount val="29"/>
                <c:pt idx="0">
                  <c:v>86.594090858581723</c:v>
                </c:pt>
                <c:pt idx="1">
                  <c:v>84.343730455723431</c:v>
                </c:pt>
                <c:pt idx="2">
                  <c:v>80.00054059468512</c:v>
                </c:pt>
                <c:pt idx="3">
                  <c:v>78.085552198145763</c:v>
                </c:pt>
                <c:pt idx="4">
                  <c:v>86.797343125771135</c:v>
                </c:pt>
                <c:pt idx="5">
                  <c:v>88.477026879839585</c:v>
                </c:pt>
                <c:pt idx="6">
                  <c:v>98.480886477133595</c:v>
                </c:pt>
                <c:pt idx="7">
                  <c:v>99.647773755615717</c:v>
                </c:pt>
                <c:pt idx="8">
                  <c:v>100.9151182068469</c:v>
                </c:pt>
                <c:pt idx="9">
                  <c:v>102.53463965565194</c:v>
                </c:pt>
                <c:pt idx="10">
                  <c:v>103.85581191572899</c:v>
                </c:pt>
                <c:pt idx="11">
                  <c:v>105.17582608343191</c:v>
                </c:pt>
                <c:pt idx="12">
                  <c:v>106.54402977941318</c:v>
                </c:pt>
                <c:pt idx="13">
                  <c:v>107.93901054423837</c:v>
                </c:pt>
                <c:pt idx="14">
                  <c:v>108.92694141928436</c:v>
                </c:pt>
                <c:pt idx="15">
                  <c:v>108.98655434115204</c:v>
                </c:pt>
                <c:pt idx="16">
                  <c:v>109.04616726301974</c:v>
                </c:pt>
                <c:pt idx="17">
                  <c:v>109.10578018488745</c:v>
                </c:pt>
                <c:pt idx="18">
                  <c:v>109.16539310675513</c:v>
                </c:pt>
                <c:pt idx="19">
                  <c:v>109.22500602862283</c:v>
                </c:pt>
                <c:pt idx="20">
                  <c:v>109.25290397260598</c:v>
                </c:pt>
                <c:pt idx="21">
                  <c:v>109.28080191658914</c:v>
                </c:pt>
                <c:pt idx="22">
                  <c:v>109.30869986057232</c:v>
                </c:pt>
                <c:pt idx="23">
                  <c:v>109.34537280455548</c:v>
                </c:pt>
                <c:pt idx="24">
                  <c:v>109.38204574853864</c:v>
                </c:pt>
                <c:pt idx="25">
                  <c:v>109.6669991625491</c:v>
                </c:pt>
                <c:pt idx="26">
                  <c:v>109.95873356517039</c:v>
                </c:pt>
                <c:pt idx="27">
                  <c:v>110.42560377060587</c:v>
                </c:pt>
                <c:pt idx="28">
                  <c:v>110.87492397604137</c:v>
                </c:pt>
              </c:numCache>
            </c:numRef>
          </c:yVal>
          <c:smooth val="0"/>
        </c:ser>
        <c:ser>
          <c:idx val="1"/>
          <c:order val="2"/>
          <c:tx>
            <c:v>Reducing chemical fertiliser only</c:v>
          </c:tx>
          <c:spPr>
            <a:ln w="19050"/>
          </c:spPr>
          <c:marker>
            <c:symbol val="none"/>
          </c:marker>
          <c:xVal>
            <c:numRef>
              <c:f>CropScenarios!$A$5:$A$33</c:f>
              <c:numCache>
                <c:formatCode>General</c:formatCode>
                <c:ptCount val="2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2035</c:v>
                </c:pt>
                <c:pt idx="26">
                  <c:v>2040</c:v>
                </c:pt>
                <c:pt idx="27">
                  <c:v>2045</c:v>
                </c:pt>
                <c:pt idx="28">
                  <c:v>2050</c:v>
                </c:pt>
              </c:numCache>
            </c:numRef>
          </c:xVal>
          <c:yVal>
            <c:numRef>
              <c:f>CropScenarios!$N$5:$N$33</c:f>
              <c:numCache>
                <c:formatCode>General</c:formatCode>
                <c:ptCount val="29"/>
                <c:pt idx="0">
                  <c:v>86.594090858581723</c:v>
                </c:pt>
                <c:pt idx="1">
                  <c:v>84.343730455723431</c:v>
                </c:pt>
                <c:pt idx="2">
                  <c:v>80.00054059468512</c:v>
                </c:pt>
                <c:pt idx="3">
                  <c:v>78.085552198145763</c:v>
                </c:pt>
                <c:pt idx="4">
                  <c:v>86.797343125771135</c:v>
                </c:pt>
                <c:pt idx="5">
                  <c:v>88.477026879839585</c:v>
                </c:pt>
                <c:pt idx="6">
                  <c:v>98.480886477133595</c:v>
                </c:pt>
                <c:pt idx="7">
                  <c:v>99.647773755615717</c:v>
                </c:pt>
                <c:pt idx="8">
                  <c:v>100.9151182068469</c:v>
                </c:pt>
                <c:pt idx="9">
                  <c:v>102.53463965565194</c:v>
                </c:pt>
                <c:pt idx="10">
                  <c:v>103.45957766087579</c:v>
                </c:pt>
                <c:pt idx="11">
                  <c:v>104.36354472219469</c:v>
                </c:pt>
                <c:pt idx="12">
                  <c:v>105.29529407471514</c:v>
                </c:pt>
                <c:pt idx="13">
                  <c:v>106.23280302317562</c:v>
                </c:pt>
                <c:pt idx="14">
                  <c:v>107.1759806265876</c:v>
                </c:pt>
                <c:pt idx="15">
                  <c:v>106.23592398556028</c:v>
                </c:pt>
                <c:pt idx="16">
                  <c:v>105.29586734453295</c:v>
                </c:pt>
                <c:pt idx="17">
                  <c:v>104.35581070350563</c:v>
                </c:pt>
                <c:pt idx="18">
                  <c:v>103.41575406247831</c:v>
                </c:pt>
                <c:pt idx="19">
                  <c:v>102.47569742145097</c:v>
                </c:pt>
                <c:pt idx="20">
                  <c:v>101.49738268072841</c:v>
                </c:pt>
                <c:pt idx="21">
                  <c:v>100.51906794000584</c:v>
                </c:pt>
                <c:pt idx="22">
                  <c:v>99.540753199283273</c:v>
                </c:pt>
                <c:pt idx="23">
                  <c:v>98.573407208560724</c:v>
                </c:pt>
                <c:pt idx="24">
                  <c:v>97.606061217838146</c:v>
                </c:pt>
                <c:pt idx="25">
                  <c:v>95.838297529244386</c:v>
                </c:pt>
                <c:pt idx="26">
                  <c:v>94.062540386832893</c:v>
                </c:pt>
                <c:pt idx="27">
                  <c:v>92.343190732854481</c:v>
                </c:pt>
                <c:pt idx="28">
                  <c:v>90.579966078876069</c:v>
                </c:pt>
              </c:numCache>
            </c:numRef>
          </c:yVal>
          <c:smooth val="0"/>
        </c:ser>
        <c:ser>
          <c:idx val="4"/>
          <c:order val="3"/>
          <c:tx>
            <c:v>Biofarming (reducing fertilisers + compost)</c:v>
          </c:tx>
          <c:spPr>
            <a:ln w="19050"/>
          </c:spPr>
          <c:marker>
            <c:symbol val="none"/>
          </c:marker>
          <c:xVal>
            <c:numRef>
              <c:f>CropScenarios!$A$5:$A$33</c:f>
              <c:numCache>
                <c:formatCode>General</c:formatCode>
                <c:ptCount val="2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2035</c:v>
                </c:pt>
                <c:pt idx="26">
                  <c:v>2040</c:v>
                </c:pt>
                <c:pt idx="27">
                  <c:v>2045</c:v>
                </c:pt>
                <c:pt idx="28">
                  <c:v>2050</c:v>
                </c:pt>
              </c:numCache>
            </c:numRef>
          </c:xVal>
          <c:yVal>
            <c:numRef>
              <c:f>CropScenarios!$T$5:$T$33</c:f>
              <c:numCache>
                <c:formatCode>General</c:formatCode>
                <c:ptCount val="29"/>
                <c:pt idx="0">
                  <c:v>86.594090858581723</c:v>
                </c:pt>
                <c:pt idx="1">
                  <c:v>84.343730455723431</c:v>
                </c:pt>
                <c:pt idx="2">
                  <c:v>80.00054059468512</c:v>
                </c:pt>
                <c:pt idx="3">
                  <c:v>78.085552198145763</c:v>
                </c:pt>
                <c:pt idx="4">
                  <c:v>86.797343125771135</c:v>
                </c:pt>
                <c:pt idx="5">
                  <c:v>88.477026879839585</c:v>
                </c:pt>
                <c:pt idx="6">
                  <c:v>98.480886477133595</c:v>
                </c:pt>
                <c:pt idx="7">
                  <c:v>99.647773755615717</c:v>
                </c:pt>
                <c:pt idx="8">
                  <c:v>100.9151182068469</c:v>
                </c:pt>
                <c:pt idx="9">
                  <c:v>102.53463965565194</c:v>
                </c:pt>
                <c:pt idx="10">
                  <c:v>103.29859824218775</c:v>
                </c:pt>
                <c:pt idx="11">
                  <c:v>104.43287707800033</c:v>
                </c:pt>
                <c:pt idx="12">
                  <c:v>105.60421506776169</c:v>
                </c:pt>
                <c:pt idx="13">
                  <c:v>106.79086846601041</c:v>
                </c:pt>
                <c:pt idx="14">
                  <c:v>107.99303272880491</c:v>
                </c:pt>
                <c:pt idx="15">
                  <c:v>107.16875960345857</c:v>
                </c:pt>
                <c:pt idx="16">
                  <c:v>106.36238244328968</c:v>
                </c:pt>
                <c:pt idx="17">
                  <c:v>105.57443137405919</c:v>
                </c:pt>
                <c:pt idx="18">
                  <c:v>104.80545056817238</c:v>
                </c:pt>
                <c:pt idx="19">
                  <c:v>104.05599859449431</c:v>
                </c:pt>
                <c:pt idx="20">
                  <c:v>103.28839067684419</c:v>
                </c:pt>
                <c:pt idx="21">
                  <c:v>103.02630446144552</c:v>
                </c:pt>
                <c:pt idx="22">
                  <c:v>102.31037830897469</c:v>
                </c:pt>
                <c:pt idx="23">
                  <c:v>101.62752920473712</c:v>
                </c:pt>
                <c:pt idx="24">
                  <c:v>100.96742837578688</c:v>
                </c:pt>
                <c:pt idx="25">
                  <c:v>100.55181442963817</c:v>
                </c:pt>
                <c:pt idx="26">
                  <c:v>100.50742944458156</c:v>
                </c:pt>
                <c:pt idx="27">
                  <c:v>100.95352827290286</c:v>
                </c:pt>
                <c:pt idx="28">
                  <c:v>101.85199276850248</c:v>
                </c:pt>
              </c:numCache>
            </c:numRef>
          </c:yVal>
          <c:smooth val="0"/>
        </c:ser>
        <c:ser>
          <c:idx val="5"/>
          <c:order val="4"/>
          <c:tx>
            <c:v>Cumulative reductions</c:v>
          </c:tx>
          <c:spPr>
            <a:ln w="19050"/>
          </c:spPr>
          <c:marker>
            <c:symbol val="none"/>
          </c:marker>
          <c:xVal>
            <c:numRef>
              <c:f>CropScenarios!$A$5:$A$33</c:f>
              <c:numCache>
                <c:formatCode>General</c:formatCode>
                <c:ptCount val="2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2035</c:v>
                </c:pt>
                <c:pt idx="26">
                  <c:v>2040</c:v>
                </c:pt>
                <c:pt idx="27">
                  <c:v>2045</c:v>
                </c:pt>
                <c:pt idx="28">
                  <c:v>2050</c:v>
                </c:pt>
              </c:numCache>
            </c:numRef>
          </c:xVal>
          <c:yVal>
            <c:numRef>
              <c:f>CropScenarios!$V$5:$V$33</c:f>
              <c:numCache>
                <c:formatCode>General</c:formatCode>
                <c:ptCount val="29"/>
                <c:pt idx="0">
                  <c:v>86.594090858581723</c:v>
                </c:pt>
                <c:pt idx="1">
                  <c:v>84.343730455723431</c:v>
                </c:pt>
                <c:pt idx="2">
                  <c:v>80.00054059468512</c:v>
                </c:pt>
                <c:pt idx="3">
                  <c:v>78.085552198145763</c:v>
                </c:pt>
                <c:pt idx="4">
                  <c:v>86.797343125771135</c:v>
                </c:pt>
                <c:pt idx="5">
                  <c:v>88.477026879839585</c:v>
                </c:pt>
                <c:pt idx="6">
                  <c:v>98.480886477133595</c:v>
                </c:pt>
                <c:pt idx="7">
                  <c:v>99.647773755615717</c:v>
                </c:pt>
                <c:pt idx="8">
                  <c:v>100.9151182068469</c:v>
                </c:pt>
                <c:pt idx="9">
                  <c:v>102.53463965565194</c:v>
                </c:pt>
                <c:pt idx="10">
                  <c:v>103.29859824218775</c:v>
                </c:pt>
                <c:pt idx="11">
                  <c:v>104.43287707800033</c:v>
                </c:pt>
                <c:pt idx="12">
                  <c:v>105.60421506776169</c:v>
                </c:pt>
                <c:pt idx="13">
                  <c:v>106.79086846601041</c:v>
                </c:pt>
                <c:pt idx="14">
                  <c:v>107.5586702288049</c:v>
                </c:pt>
                <c:pt idx="15">
                  <c:v>106.73878460345857</c:v>
                </c:pt>
                <c:pt idx="16">
                  <c:v>105.93679494328967</c:v>
                </c:pt>
                <c:pt idx="17">
                  <c:v>105.15323137405919</c:v>
                </c:pt>
                <c:pt idx="18">
                  <c:v>104.38863806817237</c:v>
                </c:pt>
                <c:pt idx="19">
                  <c:v>103.64357359449431</c:v>
                </c:pt>
                <c:pt idx="20">
                  <c:v>102.88035317684418</c:v>
                </c:pt>
                <c:pt idx="21">
                  <c:v>102.62265446144552</c:v>
                </c:pt>
                <c:pt idx="22">
                  <c:v>101.91111580897469</c:v>
                </c:pt>
                <c:pt idx="23">
                  <c:v>101.23046045473711</c:v>
                </c:pt>
                <c:pt idx="24">
                  <c:v>100.57255337578688</c:v>
                </c:pt>
                <c:pt idx="25">
                  <c:v>99.972664429638172</c:v>
                </c:pt>
                <c:pt idx="26">
                  <c:v>99.752779444581563</c:v>
                </c:pt>
                <c:pt idx="27">
                  <c:v>100.12429077290285</c:v>
                </c:pt>
                <c:pt idx="28">
                  <c:v>100.97449276850249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87008"/>
        <c:axId val="69388928"/>
      </c:scatterChart>
      <c:valAx>
        <c:axId val="69387008"/>
        <c:scaling>
          <c:orientation val="minMax"/>
          <c:max val="2053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fr-FR" sz="16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69388928"/>
        <c:crosses val="autoZero"/>
        <c:crossBetween val="midCat"/>
        <c:majorUnit val="5"/>
      </c:valAx>
      <c:valAx>
        <c:axId val="69388928"/>
        <c:scaling>
          <c:orientation val="minMax"/>
          <c:max val="130"/>
          <c:min val="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Crop GHG Emissions (Gg CO</a:t>
                </a:r>
                <a:r>
                  <a:rPr lang="en-US" sz="1600" baseline="-25000"/>
                  <a:t>2e</a:t>
                </a:r>
                <a:r>
                  <a:rPr lang="en-US" sz="16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6938700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18400606617989185"/>
          <c:y val="5.7249098188965099E-2"/>
          <c:w val="0.47304891643728098"/>
          <c:h val="0.32128739848678062"/>
        </c:manualLayout>
      </c:layout>
      <c:overlay val="1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45961360093147"/>
          <c:y val="0.15785564786897166"/>
          <c:w val="0.76242239456909988"/>
          <c:h val="0.68976476181777979"/>
        </c:manualLayout>
      </c:layout>
      <c:scatterChart>
        <c:scatterStyle val="lineMarker"/>
        <c:varyColors val="0"/>
        <c:ser>
          <c:idx val="0"/>
          <c:order val="0"/>
          <c:tx>
            <c:v>BAU</c:v>
          </c:tx>
          <c:spPr>
            <a:ln w="19050"/>
          </c:spPr>
          <c:marker>
            <c:symbol val="none"/>
          </c:marker>
          <c:xVal>
            <c:numRef>
              <c:f>LstockScen!$A$5:$A$20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xVal>
          <c:yVal>
            <c:numRef>
              <c:f>LstockScen!$E$5:$E$20</c:f>
              <c:numCache>
                <c:formatCode>General</c:formatCode>
                <c:ptCount val="16"/>
                <c:pt idx="0">
                  <c:v>33.526570240712196</c:v>
                </c:pt>
                <c:pt idx="1">
                  <c:v>32.974873352802305</c:v>
                </c:pt>
                <c:pt idx="2">
                  <c:v>32.927233947209473</c:v>
                </c:pt>
                <c:pt idx="3">
                  <c:v>33.407502623068233</c:v>
                </c:pt>
                <c:pt idx="4">
                  <c:v>34.848683746351426</c:v>
                </c:pt>
                <c:pt idx="5">
                  <c:v>33.997270378624933</c:v>
                </c:pt>
                <c:pt idx="6">
                  <c:v>34.052601330890759</c:v>
                </c:pt>
                <c:pt idx="7">
                  <c:v>33.602305423763148</c:v>
                </c:pt>
                <c:pt idx="8">
                  <c:v>34.956804584374282</c:v>
                </c:pt>
                <c:pt idx="9">
                  <c:v>34.334919335828928</c:v>
                </c:pt>
                <c:pt idx="10">
                  <c:v>34.195288996271792</c:v>
                </c:pt>
                <c:pt idx="11">
                  <c:v>34.316507844678213</c:v>
                </c:pt>
                <c:pt idx="12">
                  <c:v>35.052136263271251</c:v>
                </c:pt>
                <c:pt idx="13">
                  <c:v>35.796675469578574</c:v>
                </c:pt>
                <c:pt idx="14">
                  <c:v>36.478382813574285</c:v>
                </c:pt>
                <c:pt idx="15">
                  <c:v>37.160090157569996</c:v>
                </c:pt>
              </c:numCache>
            </c:numRef>
          </c:yVal>
          <c:smooth val="0"/>
        </c:ser>
        <c:ser>
          <c:idx val="1"/>
          <c:order val="1"/>
          <c:tx>
            <c:v>Policy Scenario (with new technology)</c:v>
          </c:tx>
          <c:spPr>
            <a:ln w="19050"/>
          </c:spPr>
          <c:marker>
            <c:symbol val="none"/>
          </c:marker>
          <c:xVal>
            <c:numRef>
              <c:f>LstockScen!$G$5:$G$20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xVal>
          <c:yVal>
            <c:numRef>
              <c:f>LstockScen!$K$5:$K$20</c:f>
              <c:numCache>
                <c:formatCode>General</c:formatCode>
                <c:ptCount val="16"/>
                <c:pt idx="0">
                  <c:v>33.526570240712196</c:v>
                </c:pt>
                <c:pt idx="1">
                  <c:v>32.974873352802305</c:v>
                </c:pt>
                <c:pt idx="2">
                  <c:v>32.927233947209473</c:v>
                </c:pt>
                <c:pt idx="3">
                  <c:v>33.407502623068233</c:v>
                </c:pt>
                <c:pt idx="4">
                  <c:v>34.848683746351426</c:v>
                </c:pt>
                <c:pt idx="5">
                  <c:v>33.997270378624933</c:v>
                </c:pt>
                <c:pt idx="6">
                  <c:v>34.052601330890759</c:v>
                </c:pt>
                <c:pt idx="7">
                  <c:v>33.602305423763148</c:v>
                </c:pt>
                <c:pt idx="8">
                  <c:v>34.956804584374282</c:v>
                </c:pt>
                <c:pt idx="9">
                  <c:v>36.441829270682859</c:v>
                </c:pt>
                <c:pt idx="10">
                  <c:v>38.131396349297496</c:v>
                </c:pt>
                <c:pt idx="11">
                  <c:v>39.855425133982855</c:v>
                </c:pt>
                <c:pt idx="12">
                  <c:v>42.56655197774036</c:v>
                </c:pt>
                <c:pt idx="13">
                  <c:v>45.229050000957145</c:v>
                </c:pt>
                <c:pt idx="14">
                  <c:v>47.52485784311429</c:v>
                </c:pt>
                <c:pt idx="15">
                  <c:v>49.834848768844644</c:v>
                </c:pt>
              </c:numCache>
            </c:numRef>
          </c:yVal>
          <c:smooth val="0"/>
        </c:ser>
        <c:ser>
          <c:idx val="3"/>
          <c:order val="2"/>
          <c:tx>
            <c:v>Policy Scenario (with old technology)</c:v>
          </c:tx>
          <c:spPr>
            <a:ln w="19050"/>
          </c:spPr>
          <c:marker>
            <c:symbol val="none"/>
          </c:marker>
          <c:xVal>
            <c:numRef>
              <c:f>LstockScen!$M$5:$M$20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xVal>
          <c:yVal>
            <c:numRef>
              <c:f>LstockScen!$Q$5:$Q$20</c:f>
              <c:numCache>
                <c:formatCode>General</c:formatCode>
                <c:ptCount val="16"/>
                <c:pt idx="0">
                  <c:v>33.526570240712196</c:v>
                </c:pt>
                <c:pt idx="1">
                  <c:v>32.974873352802305</c:v>
                </c:pt>
                <c:pt idx="2">
                  <c:v>32.927233947209473</c:v>
                </c:pt>
                <c:pt idx="3">
                  <c:v>33.407502623068233</c:v>
                </c:pt>
                <c:pt idx="4">
                  <c:v>34.848683746351426</c:v>
                </c:pt>
                <c:pt idx="5">
                  <c:v>33.997270378624933</c:v>
                </c:pt>
                <c:pt idx="6">
                  <c:v>34.052601330890759</c:v>
                </c:pt>
                <c:pt idx="7">
                  <c:v>33.602305423763148</c:v>
                </c:pt>
                <c:pt idx="8">
                  <c:v>34.956804584374282</c:v>
                </c:pt>
                <c:pt idx="9">
                  <c:v>36.487871145525716</c:v>
                </c:pt>
                <c:pt idx="10">
                  <c:v>38.180507682463215</c:v>
                </c:pt>
                <c:pt idx="11">
                  <c:v>39.890212328308571</c:v>
                </c:pt>
                <c:pt idx="12">
                  <c:v>42.846050232722142</c:v>
                </c:pt>
                <c:pt idx="13">
                  <c:v>45.785523924849997</c:v>
                </c:pt>
                <c:pt idx="14">
                  <c:v>48.556827960333933</c:v>
                </c:pt>
                <c:pt idx="15">
                  <c:v>51.328131995817863</c:v>
                </c:pt>
              </c:numCache>
            </c:numRef>
          </c:yVal>
          <c:smooth val="0"/>
        </c:ser>
        <c:ser>
          <c:idx val="2"/>
          <c:order val="3"/>
          <c:tx>
            <c:v>BAU - Enteric</c:v>
          </c:tx>
          <c:spPr>
            <a:ln w="19050"/>
          </c:spPr>
          <c:marker>
            <c:symbol val="none"/>
          </c:marker>
          <c:xVal>
            <c:numRef>
              <c:f>LstockScen!$A$5:$A$20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xVal>
          <c:yVal>
            <c:numRef>
              <c:f>LstockScen!$B$5:$B$20</c:f>
              <c:numCache>
                <c:formatCode>General</c:formatCode>
                <c:ptCount val="16"/>
                <c:pt idx="0">
                  <c:v>19.915768749999998</c:v>
                </c:pt>
                <c:pt idx="1">
                  <c:v>19.830356250000001</c:v>
                </c:pt>
                <c:pt idx="2">
                  <c:v>20.250081250000001</c:v>
                </c:pt>
                <c:pt idx="3">
                  <c:v>20.386050000000001</c:v>
                </c:pt>
                <c:pt idx="4">
                  <c:v>21.088637500000001</c:v>
                </c:pt>
                <c:pt idx="5">
                  <c:v>20.273137499999997</c:v>
                </c:pt>
                <c:pt idx="6">
                  <c:v>20.6790375</c:v>
                </c:pt>
                <c:pt idx="7">
                  <c:v>20.396525</c:v>
                </c:pt>
                <c:pt idx="8">
                  <c:v>20.547249999999998</c:v>
                </c:pt>
                <c:pt idx="9">
                  <c:v>19.559750000000001</c:v>
                </c:pt>
                <c:pt idx="10">
                  <c:v>19.174750000000003</c:v>
                </c:pt>
                <c:pt idx="11">
                  <c:v>19.069749999999999</c:v>
                </c:pt>
                <c:pt idx="12">
                  <c:v>19.138500000000001</c:v>
                </c:pt>
                <c:pt idx="13">
                  <c:v>19.232250000000001</c:v>
                </c:pt>
                <c:pt idx="14">
                  <c:v>19.385124999999999</c:v>
                </c:pt>
                <c:pt idx="15">
                  <c:v>19.538</c:v>
                </c:pt>
              </c:numCache>
            </c:numRef>
          </c:yVal>
          <c:smooth val="0"/>
        </c:ser>
        <c:ser>
          <c:idx val="4"/>
          <c:order val="4"/>
          <c:tx>
            <c:v>Policy Scenario - Enteric</c:v>
          </c:tx>
          <c:spPr>
            <a:ln w="19050"/>
          </c:spPr>
          <c:marker>
            <c:symbol val="none"/>
          </c:marker>
          <c:xVal>
            <c:numRef>
              <c:f>LstockScen!$G$5:$G$20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2015</c:v>
                </c:pt>
                <c:pt idx="9">
                  <c:v>2020</c:v>
                </c:pt>
                <c:pt idx="10">
                  <c:v>2025</c:v>
                </c:pt>
                <c:pt idx="11">
                  <c:v>2030</c:v>
                </c:pt>
                <c:pt idx="12">
                  <c:v>2035</c:v>
                </c:pt>
                <c:pt idx="13">
                  <c:v>2040</c:v>
                </c:pt>
                <c:pt idx="14">
                  <c:v>2045</c:v>
                </c:pt>
                <c:pt idx="15">
                  <c:v>2050</c:v>
                </c:pt>
              </c:numCache>
            </c:numRef>
          </c:xVal>
          <c:yVal>
            <c:numRef>
              <c:f>LstockScen!$H$5:$H$20</c:f>
              <c:numCache>
                <c:formatCode>General</c:formatCode>
                <c:ptCount val="16"/>
                <c:pt idx="0">
                  <c:v>19.915768749999998</c:v>
                </c:pt>
                <c:pt idx="1">
                  <c:v>19.830356250000001</c:v>
                </c:pt>
                <c:pt idx="2">
                  <c:v>20.250081250000001</c:v>
                </c:pt>
                <c:pt idx="3">
                  <c:v>20.386050000000001</c:v>
                </c:pt>
                <c:pt idx="4">
                  <c:v>21.088637500000001</c:v>
                </c:pt>
                <c:pt idx="5">
                  <c:v>20.273137499999997</c:v>
                </c:pt>
                <c:pt idx="6">
                  <c:v>20.6790375</c:v>
                </c:pt>
                <c:pt idx="7">
                  <c:v>20.396525</c:v>
                </c:pt>
                <c:pt idx="8">
                  <c:v>20.547249999999998</c:v>
                </c:pt>
                <c:pt idx="9">
                  <c:v>21.479750000000003</c:v>
                </c:pt>
                <c:pt idx="10">
                  <c:v>22.535249999999998</c:v>
                </c:pt>
                <c:pt idx="11">
                  <c:v>23.678249999999998</c:v>
                </c:pt>
                <c:pt idx="12">
                  <c:v>25.369</c:v>
                </c:pt>
                <c:pt idx="13">
                  <c:v>27.059749999999998</c:v>
                </c:pt>
                <c:pt idx="14">
                  <c:v>28.734750000000002</c:v>
                </c:pt>
                <c:pt idx="15">
                  <c:v>30.409749999999999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78944"/>
        <c:axId val="69464448"/>
      </c:scatterChart>
      <c:valAx>
        <c:axId val="68978944"/>
        <c:scaling>
          <c:orientation val="minMax"/>
          <c:max val="2055"/>
          <c:min val="2005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Year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69464448"/>
        <c:crosses val="autoZero"/>
        <c:crossBetween val="midCat"/>
      </c:valAx>
      <c:valAx>
        <c:axId val="69464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Livestock GHG Emissions (Gg CO</a:t>
                </a:r>
                <a:r>
                  <a:rPr lang="en-US" sz="1800" baseline="-25000"/>
                  <a:t>2e</a:t>
                </a:r>
                <a:r>
                  <a:rPr lang="en-US" sz="1800"/>
                  <a:t>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68978944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5.2992718015511218E-2"/>
          <c:y val="6.713287699030919E-2"/>
          <c:w val="0.77872634341759916"/>
          <c:h val="0.27505361673235568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316120</xdr:colOff>
      <xdr:row>0</xdr:row>
      <xdr:rowOff>0</xdr:rowOff>
    </xdr:from>
    <xdr:to>
      <xdr:col>15</xdr:col>
      <xdr:colOff>289892</xdr:colOff>
      <xdr:row>13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402028</xdr:colOff>
      <xdr:row>5</xdr:row>
      <xdr:rowOff>152703</xdr:rowOff>
    </xdr:from>
    <xdr:to>
      <xdr:col>33</xdr:col>
      <xdr:colOff>562429</xdr:colOff>
      <xdr:row>26</xdr:row>
      <xdr:rowOff>145279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6</xdr:row>
      <xdr:rowOff>28575</xdr:rowOff>
    </xdr:from>
    <xdr:to>
      <xdr:col>21</xdr:col>
      <xdr:colOff>561975</xdr:colOff>
      <xdr:row>24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6:E45" totalsRowShown="0" headerRowDxfId="5">
  <autoFilter ref="A16:E45"/>
  <tableColumns count="5">
    <tableColumn id="1" name="YEAR"/>
    <tableColumn id="2" name="Area Available (ha)" dataDxfId="4"/>
    <tableColumn id="3" name="Area Burnt (ha)" dataDxfId="3">
      <calculatedColumnFormula>Table2[[#This Row],[Area Available (ha)]]*$F$11</calculatedColumnFormula>
    </tableColumn>
    <tableColumn id="4" name="GHG (tCH4)" dataDxfId="2">
      <calculatedColumnFormula>Table2[[#This Row],[Area Burnt (ha)]]*$F$7*$F$8*$F$9/1000</calculatedColumnFormula>
    </tableColumn>
    <tableColumn id="5" name="GHG (GgCO2e)" dataDxfId="1">
      <calculatedColumnFormula>Table2[[#This Row],[GHG (tCH4)]]*$F$10/1000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5:E10" totalsRowShown="0">
  <autoFilter ref="A5:E10"/>
  <tableColumns count="5">
    <tableColumn id="1" name="Parameter"/>
    <tableColumn id="7" name="Column1"/>
    <tableColumn id="4" name="Symbol"/>
    <tableColumn id="5" name="Unit"/>
    <tableColumn id="6" name="Value">
      <calculatedColumnFormula>44/28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42" displayName="Table42" ref="A5:E10" totalsRowShown="0">
  <autoFilter ref="A5:E10"/>
  <tableColumns count="5">
    <tableColumn id="1" name="Parameter"/>
    <tableColumn id="7" name="Column1"/>
    <tableColumn id="4" name="Symbol"/>
    <tableColumn id="5" name="Unit"/>
    <tableColumn id="6" name="Value">
      <calculatedColumnFormula>44/28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6:D13" totalsRowShown="0">
  <autoFilter ref="A6:D13"/>
  <tableColumns count="4">
    <tableColumn id="1" name="Parameters"/>
    <tableColumn id="4" name="Symbol"/>
    <tableColumn id="5" name="Units" dataDxfId="0"/>
    <tableColumn id="6" name="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4" zoomScale="90" zoomScaleNormal="90" workbookViewId="0">
      <selection activeCell="G32" sqref="G32"/>
    </sheetView>
  </sheetViews>
  <sheetFormatPr defaultRowHeight="15" x14ac:dyDescent="0.25"/>
  <cols>
    <col min="1" max="1" width="11" customWidth="1"/>
    <col min="2" max="2" width="20" customWidth="1"/>
    <col min="3" max="3" width="16.5703125" customWidth="1"/>
    <col min="4" max="4" width="13.28515625" customWidth="1"/>
    <col min="5" max="5" width="16.28515625" customWidth="1"/>
    <col min="6" max="6" width="11" customWidth="1"/>
    <col min="7" max="7" width="15.140625" customWidth="1"/>
    <col min="8" max="8" width="11.5703125" customWidth="1"/>
    <col min="9" max="9" width="13.7109375" customWidth="1"/>
  </cols>
  <sheetData>
    <row r="1" spans="1:18" x14ac:dyDescent="0.2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8" x14ac:dyDescent="0.25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8" x14ac:dyDescent="0.25">
      <c r="A4" s="5" t="s">
        <v>5</v>
      </c>
      <c r="B4" s="5"/>
    </row>
    <row r="5" spans="1:18" x14ac:dyDescent="0.25">
      <c r="A5" s="6" t="s">
        <v>22</v>
      </c>
      <c r="B5" s="6"/>
      <c r="C5" s="6"/>
      <c r="D5" s="6"/>
      <c r="E5" s="6"/>
    </row>
    <row r="6" spans="1:18" x14ac:dyDescent="0.25">
      <c r="A6" s="183" t="s">
        <v>6</v>
      </c>
      <c r="B6" s="184"/>
      <c r="C6" s="184"/>
      <c r="D6" s="12" t="s">
        <v>7</v>
      </c>
      <c r="E6" s="12" t="s">
        <v>9</v>
      </c>
      <c r="F6" s="13" t="s">
        <v>8</v>
      </c>
    </row>
    <row r="7" spans="1:18" x14ac:dyDescent="0.25">
      <c r="A7" s="185" t="s">
        <v>10</v>
      </c>
      <c r="B7" s="186"/>
      <c r="C7" s="186"/>
      <c r="D7" s="14" t="s">
        <v>13</v>
      </c>
      <c r="E7" s="14" t="s">
        <v>16</v>
      </c>
      <c r="F7" s="15">
        <v>6.5</v>
      </c>
      <c r="I7" s="8">
        <f>F18</f>
        <v>0</v>
      </c>
    </row>
    <row r="8" spans="1:18" x14ac:dyDescent="0.25">
      <c r="A8" s="187" t="s">
        <v>11</v>
      </c>
      <c r="B8" s="188"/>
      <c r="C8" s="188"/>
      <c r="D8" s="16" t="s">
        <v>14</v>
      </c>
      <c r="E8" s="16" t="s">
        <v>17</v>
      </c>
      <c r="F8" s="17">
        <v>1</v>
      </c>
    </row>
    <row r="9" spans="1:18" ht="30" x14ac:dyDescent="0.25">
      <c r="A9" s="185" t="s">
        <v>12</v>
      </c>
      <c r="B9" s="186"/>
      <c r="C9" s="186"/>
      <c r="D9" s="14" t="s">
        <v>15</v>
      </c>
      <c r="E9" s="18" t="s">
        <v>18</v>
      </c>
      <c r="F9" s="15">
        <v>2.7</v>
      </c>
    </row>
    <row r="10" spans="1:18" x14ac:dyDescent="0.25">
      <c r="A10" s="187" t="s">
        <v>19</v>
      </c>
      <c r="B10" s="188"/>
      <c r="C10" s="188"/>
      <c r="D10" s="16" t="s">
        <v>20</v>
      </c>
      <c r="E10" s="19" t="s">
        <v>21</v>
      </c>
      <c r="F10" s="17">
        <v>25</v>
      </c>
    </row>
    <row r="11" spans="1:18" x14ac:dyDescent="0.25">
      <c r="A11" s="185" t="s">
        <v>25</v>
      </c>
      <c r="B11" s="186"/>
      <c r="C11" s="186"/>
      <c r="D11" s="9" t="s">
        <v>23</v>
      </c>
      <c r="E11" s="10" t="s">
        <v>17</v>
      </c>
      <c r="F11" s="11">
        <v>0.1</v>
      </c>
    </row>
    <row r="12" spans="1:18" x14ac:dyDescent="0.25">
      <c r="A12" s="22"/>
      <c r="B12" s="22"/>
      <c r="C12" s="22"/>
      <c r="D12" s="23"/>
      <c r="E12" s="24"/>
      <c r="F12" s="25"/>
    </row>
    <row r="13" spans="1:18" x14ac:dyDescent="0.25">
      <c r="A13" s="22"/>
      <c r="B13" s="22"/>
      <c r="C13" s="22"/>
      <c r="D13" s="23"/>
      <c r="E13" s="24"/>
      <c r="F13" s="25"/>
    </row>
    <row r="14" spans="1:18" x14ac:dyDescent="0.25">
      <c r="E14" s="1"/>
      <c r="F14" s="7"/>
      <c r="G14" s="5" t="s">
        <v>259</v>
      </c>
      <c r="H14" s="5"/>
      <c r="I14" s="5"/>
      <c r="J14" s="5"/>
      <c r="K14" s="5"/>
      <c r="L14" s="5"/>
      <c r="M14" s="5"/>
      <c r="N14" s="5"/>
      <c r="O14" s="5"/>
      <c r="P14" s="5"/>
      <c r="Q14" s="86"/>
      <c r="R14" s="86"/>
    </row>
    <row r="15" spans="1:18" x14ac:dyDescent="0.25">
      <c r="A15" s="5" t="s">
        <v>257</v>
      </c>
      <c r="B15" s="5"/>
      <c r="C15" s="5"/>
      <c r="D15" s="86"/>
      <c r="E15" s="1"/>
      <c r="F15" s="110">
        <v>2020</v>
      </c>
      <c r="G15" s="109">
        <v>0.08</v>
      </c>
      <c r="H15">
        <v>2025</v>
      </c>
      <c r="I15" s="109">
        <v>0.08</v>
      </c>
      <c r="J15">
        <v>2035</v>
      </c>
      <c r="K15" s="109">
        <v>7.0000000000000007E-2</v>
      </c>
      <c r="L15">
        <v>2040</v>
      </c>
      <c r="M15" s="130">
        <v>0.06</v>
      </c>
      <c r="N15">
        <v>2045</v>
      </c>
      <c r="O15" s="109">
        <v>5.5E-2</v>
      </c>
      <c r="P15">
        <v>2050</v>
      </c>
      <c r="Q15" s="109">
        <v>0.05</v>
      </c>
    </row>
    <row r="16" spans="1:18" x14ac:dyDescent="0.25">
      <c r="A16" s="2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2"/>
      <c r="G16" s="113" t="s">
        <v>258</v>
      </c>
      <c r="H16" s="113" t="s">
        <v>3</v>
      </c>
      <c r="I16" s="113" t="s">
        <v>4</v>
      </c>
    </row>
    <row r="17" spans="1:9" x14ac:dyDescent="0.25">
      <c r="A17">
        <v>2006</v>
      </c>
      <c r="B17" s="8">
        <v>70800</v>
      </c>
      <c r="C17" s="8">
        <f>Table2[[#This Row],[Area Available (ha)]]*$F$11</f>
        <v>7080</v>
      </c>
      <c r="D17" s="20">
        <f>Table2[[#This Row],[Area Burnt (ha)]]*$F$7*$F$8*$F$9/1000</f>
        <v>124.25400000000002</v>
      </c>
      <c r="E17" s="21">
        <f>Table2[[#This Row],[GHG (tCH4)]]*$F$10/1000</f>
        <v>3.1063500000000004</v>
      </c>
      <c r="G17" s="111">
        <f>Table2[[#This Row],[Area Burnt (ha)]]</f>
        <v>7080</v>
      </c>
      <c r="H17" s="112">
        <f>G17*$F$7*$F$8*$F$9/1000</f>
        <v>124.25400000000002</v>
      </c>
      <c r="I17" s="112">
        <f>H17*$F$10/1000</f>
        <v>3.1063500000000004</v>
      </c>
    </row>
    <row r="18" spans="1:9" x14ac:dyDescent="0.25">
      <c r="A18">
        <v>2007</v>
      </c>
      <c r="B18" s="8">
        <v>68520</v>
      </c>
      <c r="C18" s="8">
        <f>Table2[[#This Row],[Area Available (ha)]]*$F$11</f>
        <v>6852</v>
      </c>
      <c r="D18" s="20">
        <f>Table2[[#This Row],[Area Burnt (ha)]]*$F$7*$F$8*$F$9/1000</f>
        <v>120.2526</v>
      </c>
      <c r="E18" s="21">
        <f>Table2[[#This Row],[GHG (tCH4)]]*$F$10/1000</f>
        <v>3.0063149999999998</v>
      </c>
      <c r="F18" s="8"/>
      <c r="G18" s="111">
        <f>Table2[[#This Row],[Area Burnt (ha)]]</f>
        <v>6852</v>
      </c>
      <c r="H18" s="112">
        <f t="shared" ref="H18:H45" si="0">G18*$F$7*$F$8*$F$9/1000</f>
        <v>120.2526</v>
      </c>
      <c r="I18" s="112">
        <f t="shared" ref="I18:I45" si="1">H18*$F$10/1000</f>
        <v>3.0063149999999998</v>
      </c>
    </row>
    <row r="19" spans="1:9" x14ac:dyDescent="0.25">
      <c r="A19">
        <v>2008</v>
      </c>
      <c r="B19" s="8">
        <v>65440</v>
      </c>
      <c r="C19" s="8">
        <f>Table2[[#This Row],[Area Available (ha)]]*$F$11</f>
        <v>6544</v>
      </c>
      <c r="D19" s="20">
        <f>Table2[[#This Row],[Area Burnt (ha)]]*$F$7*$F$8*$F$9/1000</f>
        <v>114.84720000000002</v>
      </c>
      <c r="E19" s="21">
        <f>Table2[[#This Row],[GHG (tCH4)]]*$F$10/1000</f>
        <v>2.8711800000000003</v>
      </c>
      <c r="F19" s="8"/>
      <c r="G19" s="111">
        <f>Table2[[#This Row],[Area Burnt (ha)]]</f>
        <v>6544</v>
      </c>
      <c r="H19" s="112">
        <f t="shared" si="0"/>
        <v>114.84720000000002</v>
      </c>
      <c r="I19" s="112">
        <f t="shared" si="1"/>
        <v>2.8711800000000003</v>
      </c>
    </row>
    <row r="20" spans="1:9" x14ac:dyDescent="0.25">
      <c r="A20">
        <v>2009</v>
      </c>
      <c r="B20" s="8">
        <v>65850</v>
      </c>
      <c r="C20" s="8">
        <f>Table2[[#This Row],[Area Available (ha)]]*$F$11</f>
        <v>6585</v>
      </c>
      <c r="D20" s="20">
        <f>Table2[[#This Row],[Area Burnt (ha)]]*$F$7*$F$8*$F$9/1000</f>
        <v>115.56675000000001</v>
      </c>
      <c r="E20" s="21">
        <f>Table2[[#This Row],[GHG (tCH4)]]*$F$10/1000</f>
        <v>2.8891687500000001</v>
      </c>
      <c r="F20" s="8"/>
      <c r="G20" s="111">
        <f>Table2[[#This Row],[Area Burnt (ha)]]</f>
        <v>6585</v>
      </c>
      <c r="H20" s="112">
        <f t="shared" si="0"/>
        <v>115.56675000000001</v>
      </c>
      <c r="I20" s="112">
        <f t="shared" si="1"/>
        <v>2.8891687500000001</v>
      </c>
    </row>
    <row r="21" spans="1:9" x14ac:dyDescent="0.25">
      <c r="A21">
        <v>2010</v>
      </c>
      <c r="B21" s="8">
        <v>64130</v>
      </c>
      <c r="C21" s="8">
        <f>Table2[[#This Row],[Area Available (ha)]]*$F$11</f>
        <v>6413</v>
      </c>
      <c r="D21" s="20">
        <f>Table2[[#This Row],[Area Burnt (ha)]]*$F$7*$F$8*$F$9/1000</f>
        <v>112.54815000000001</v>
      </c>
      <c r="E21" s="21">
        <f>Table2[[#This Row],[GHG (tCH4)]]*$F$10/1000</f>
        <v>2.8137037500000002</v>
      </c>
      <c r="F21" s="8"/>
      <c r="G21" s="111">
        <f>Table2[[#This Row],[Area Burnt (ha)]]</f>
        <v>6413</v>
      </c>
      <c r="H21" s="112">
        <f t="shared" si="0"/>
        <v>112.54815000000001</v>
      </c>
      <c r="I21" s="112">
        <f t="shared" si="1"/>
        <v>2.8137037500000002</v>
      </c>
    </row>
    <row r="22" spans="1:9" x14ac:dyDescent="0.25">
      <c r="A22">
        <v>2011</v>
      </c>
      <c r="B22" s="8">
        <v>61730</v>
      </c>
      <c r="C22" s="8">
        <f>Table2[[#This Row],[Area Available (ha)]]*$F$11</f>
        <v>6173</v>
      </c>
      <c r="D22" s="20">
        <f>Table2[[#This Row],[Area Burnt (ha)]]*$F$7*$F$8*$F$9/1000</f>
        <v>108.33615</v>
      </c>
      <c r="E22" s="21">
        <f>Table2[[#This Row],[GHG (tCH4)]]*$F$10/1000</f>
        <v>2.70840375</v>
      </c>
      <c r="F22" s="8"/>
      <c r="G22" s="111">
        <f>Table2[[#This Row],[Area Burnt (ha)]]</f>
        <v>6173</v>
      </c>
      <c r="H22" s="112">
        <f t="shared" si="0"/>
        <v>108.33615</v>
      </c>
      <c r="I22" s="112">
        <f t="shared" si="1"/>
        <v>2.70840375</v>
      </c>
    </row>
    <row r="23" spans="1:9" x14ac:dyDescent="0.25">
      <c r="A23">
        <v>2012</v>
      </c>
      <c r="B23" s="8">
        <v>57160</v>
      </c>
      <c r="C23" s="8">
        <f>Table2[[#This Row],[Area Available (ha)]]*$F$11</f>
        <v>5716</v>
      </c>
      <c r="D23" s="20">
        <f>Table2[[#This Row],[Area Burnt (ha)]]*$F$7*$F$8*$F$9/1000</f>
        <v>100.3158</v>
      </c>
      <c r="E23" s="21">
        <f>Table2[[#This Row],[GHG (tCH4)]]*$F$10/1000</f>
        <v>2.507895</v>
      </c>
      <c r="F23" s="8"/>
      <c r="G23" s="111">
        <f>Table2[[#This Row],[Area Burnt (ha)]]</f>
        <v>5716</v>
      </c>
      <c r="H23" s="112">
        <f t="shared" si="0"/>
        <v>100.3158</v>
      </c>
      <c r="I23" s="112">
        <f t="shared" si="1"/>
        <v>2.507895</v>
      </c>
    </row>
    <row r="24" spans="1:9" x14ac:dyDescent="0.25">
      <c r="A24">
        <v>2013</v>
      </c>
      <c r="B24" s="8">
        <v>56464</v>
      </c>
      <c r="C24" s="8">
        <f>Table2[[#This Row],[Area Available (ha)]]*$F$11</f>
        <v>5646.4000000000005</v>
      </c>
      <c r="D24" s="20">
        <f>Table2[[#This Row],[Area Burnt (ha)]]*$F$7*$F$8*$F$9/1000</f>
        <v>99.094320000000025</v>
      </c>
      <c r="E24" s="21">
        <f>Table2[[#This Row],[GHG (tCH4)]]*$F$10/1000</f>
        <v>2.4773580000000006</v>
      </c>
      <c r="F24" s="8"/>
      <c r="G24" s="111">
        <f>Table2[[#This Row],[Area Burnt (ha)]]</f>
        <v>5646.4000000000005</v>
      </c>
      <c r="H24" s="112">
        <f t="shared" si="0"/>
        <v>99.094320000000025</v>
      </c>
      <c r="I24" s="112">
        <f t="shared" si="1"/>
        <v>2.4773580000000006</v>
      </c>
    </row>
    <row r="25" spans="1:9" x14ac:dyDescent="0.25">
      <c r="A25">
        <v>2014</v>
      </c>
      <c r="B25" s="8">
        <v>50694</v>
      </c>
      <c r="C25" s="8">
        <f>Table2[[#This Row],[Area Available (ha)]]*$F$11</f>
        <v>5069.4000000000005</v>
      </c>
      <c r="D25" s="20">
        <f>Table2[[#This Row],[Area Burnt (ha)]]*$F$7*$F$8*$F$9/1000</f>
        <v>88.967970000000022</v>
      </c>
      <c r="E25" s="21">
        <f>Table2[[#This Row],[GHG (tCH4)]]*$F$10/1000</f>
        <v>2.2241992500000007</v>
      </c>
      <c r="F25" s="8"/>
      <c r="G25" s="111">
        <f>Table2[[#This Row],[Area Burnt (ha)]]</f>
        <v>5069.4000000000005</v>
      </c>
      <c r="H25" s="112">
        <f t="shared" si="0"/>
        <v>88.967970000000022</v>
      </c>
      <c r="I25" s="112">
        <f t="shared" si="1"/>
        <v>2.2241992500000007</v>
      </c>
    </row>
    <row r="26" spans="1:9" x14ac:dyDescent="0.25">
      <c r="A26">
        <v>2015</v>
      </c>
      <c r="B26" s="8">
        <v>52387</v>
      </c>
      <c r="C26" s="8">
        <f>Table2[[#This Row],[Area Available (ha)]]*$F$11</f>
        <v>5238.7000000000007</v>
      </c>
      <c r="D26" s="20">
        <f>Table2[[#This Row],[Area Burnt (ha)]]*$F$7*$F$8*$F$9/1000</f>
        <v>91.939185000000009</v>
      </c>
      <c r="E26" s="21">
        <f>Table2[[#This Row],[GHG (tCH4)]]*$F$10/1000</f>
        <v>2.2984796250000006</v>
      </c>
      <c r="G26" s="111">
        <f>Table2[[#This Row],[Area Burnt (ha)]]</f>
        <v>5238.7000000000007</v>
      </c>
      <c r="H26" s="112">
        <f t="shared" si="0"/>
        <v>91.939185000000009</v>
      </c>
      <c r="I26" s="112">
        <f t="shared" si="1"/>
        <v>2.2984796250000006</v>
      </c>
    </row>
    <row r="27" spans="1:9" x14ac:dyDescent="0.25">
      <c r="A27">
        <v>2016</v>
      </c>
      <c r="B27" s="8">
        <v>52000</v>
      </c>
      <c r="C27" s="8">
        <f>Table2[[#This Row],[Area Available (ha)]]*$F$11</f>
        <v>5200</v>
      </c>
      <c r="D27" s="20">
        <f>Table2[[#This Row],[Area Burnt (ha)]]*$F$7*$F$8*$F$9/1000</f>
        <v>91.26</v>
      </c>
      <c r="E27" s="21">
        <f>Table2[[#This Row],[GHG (tCH4)]]*$F$10/1000</f>
        <v>2.2814999999999999</v>
      </c>
      <c r="G27" s="111">
        <f>Table2[[#This Row],[Area Burnt (ha)]]</f>
        <v>5200</v>
      </c>
      <c r="H27" s="112">
        <f t="shared" si="0"/>
        <v>91.26</v>
      </c>
      <c r="I27" s="112">
        <f t="shared" si="1"/>
        <v>2.2814999999999999</v>
      </c>
    </row>
    <row r="28" spans="1:9" x14ac:dyDescent="0.25">
      <c r="A28">
        <v>2017</v>
      </c>
      <c r="B28" s="8">
        <v>51000</v>
      </c>
      <c r="C28" s="8">
        <f>Table2[[#This Row],[Area Available (ha)]]*$F$11</f>
        <v>5100</v>
      </c>
      <c r="D28" s="20">
        <f>Table2[[#This Row],[Area Burnt (ha)]]*$F$7*$F$8*$F$9/1000</f>
        <v>89.504999999999995</v>
      </c>
      <c r="E28" s="21">
        <f>Table2[[#This Row],[GHG (tCH4)]]*$F$10/1000</f>
        <v>2.237625</v>
      </c>
      <c r="G28" s="111">
        <f>Table2[[#This Row],[Area Burnt (ha)]]</f>
        <v>5100</v>
      </c>
      <c r="H28" s="112">
        <f t="shared" si="0"/>
        <v>89.504999999999995</v>
      </c>
      <c r="I28" s="112">
        <f t="shared" si="1"/>
        <v>2.237625</v>
      </c>
    </row>
    <row r="29" spans="1:9" x14ac:dyDescent="0.25">
      <c r="A29">
        <v>2018</v>
      </c>
      <c r="B29" s="8">
        <v>50500</v>
      </c>
      <c r="C29" s="8">
        <f>Table2[[#This Row],[Area Available (ha)]]*$F$11</f>
        <v>5050</v>
      </c>
      <c r="D29" s="20">
        <f>Table2[[#This Row],[Area Burnt (ha)]]*$F$7*$F$8*$F$9/1000</f>
        <v>88.627499999999998</v>
      </c>
      <c r="E29" s="21">
        <f>Table2[[#This Row],[GHG (tCH4)]]*$F$10/1000</f>
        <v>2.2156875</v>
      </c>
      <c r="G29" s="111">
        <f>Table2[[#This Row],[Area Burnt (ha)]]</f>
        <v>5050</v>
      </c>
      <c r="H29" s="112">
        <f t="shared" si="0"/>
        <v>88.627499999999998</v>
      </c>
      <c r="I29" s="112">
        <f t="shared" si="1"/>
        <v>2.2156875</v>
      </c>
    </row>
    <row r="30" spans="1:9" x14ac:dyDescent="0.25">
      <c r="A30">
        <v>2019</v>
      </c>
      <c r="B30" s="8">
        <v>50000</v>
      </c>
      <c r="C30" s="8">
        <f>Table2[[#This Row],[Area Available (ha)]]*$F$11</f>
        <v>5000</v>
      </c>
      <c r="D30" s="20">
        <f>Table2[[#This Row],[Area Burnt (ha)]]*$F$7*$F$8*$F$9/1000</f>
        <v>87.75</v>
      </c>
      <c r="E30" s="21">
        <f>Table2[[#This Row],[GHG (tCH4)]]*$F$10/1000</f>
        <v>2.1937500000000001</v>
      </c>
      <c r="G30" s="111">
        <f>Table2[[#This Row],[Area Burnt (ha)]]</f>
        <v>5000</v>
      </c>
      <c r="H30" s="112">
        <f t="shared" si="0"/>
        <v>87.75</v>
      </c>
      <c r="I30" s="112">
        <f t="shared" si="1"/>
        <v>2.1937500000000001</v>
      </c>
    </row>
    <row r="31" spans="1:9" x14ac:dyDescent="0.25">
      <c r="A31">
        <v>2020</v>
      </c>
      <c r="B31" s="8">
        <v>49500</v>
      </c>
      <c r="C31" s="8">
        <f>Table2[[#This Row],[Area Available (ha)]]*$F$11</f>
        <v>4950</v>
      </c>
      <c r="D31" s="20">
        <f>Table2[[#This Row],[Area Burnt (ha)]]*$F$7*$F$8*$F$9/1000</f>
        <v>86.872500000000002</v>
      </c>
      <c r="E31" s="21">
        <f>Table2[[#This Row],[GHG (tCH4)]]*$F$10/1000</f>
        <v>2.1718125000000001</v>
      </c>
      <c r="G31" s="111">
        <f>Table2[[#This Row],[Area Available (ha)]]*$G$15</f>
        <v>3960</v>
      </c>
      <c r="H31" s="112">
        <f t="shared" si="0"/>
        <v>69.498000000000005</v>
      </c>
      <c r="I31" s="112">
        <f t="shared" si="1"/>
        <v>1.7374499999999999</v>
      </c>
    </row>
    <row r="32" spans="1:9" x14ac:dyDescent="0.25">
      <c r="A32">
        <v>2021</v>
      </c>
      <c r="B32" s="8">
        <v>49000</v>
      </c>
      <c r="C32" s="8">
        <f>Table2[[#This Row],[Area Available (ha)]]*$F$11</f>
        <v>4900</v>
      </c>
      <c r="D32" s="20">
        <f>Table2[[#This Row],[Area Burnt (ha)]]*$F$7*$F$8*$F$9/1000</f>
        <v>85.995000000000005</v>
      </c>
      <c r="E32" s="21">
        <f>Table2[[#This Row],[GHG (tCH4)]]*$F$10/1000</f>
        <v>2.1498750000000002</v>
      </c>
      <c r="G32" s="111">
        <f>Table2[[#This Row],[Area Available (ha)]]*$G$15</f>
        <v>3920</v>
      </c>
      <c r="H32" s="112">
        <f t="shared" si="0"/>
        <v>68.796000000000006</v>
      </c>
      <c r="I32" s="112">
        <f t="shared" si="1"/>
        <v>1.7199</v>
      </c>
    </row>
    <row r="33" spans="1:9" x14ac:dyDescent="0.25">
      <c r="A33">
        <v>2022</v>
      </c>
      <c r="B33" s="8">
        <v>48500</v>
      </c>
      <c r="C33" s="8">
        <f>Table2[[#This Row],[Area Available (ha)]]*$F$11</f>
        <v>4850</v>
      </c>
      <c r="D33" s="20">
        <f>Table2[[#This Row],[Area Burnt (ha)]]*$F$7*$F$8*$F$9/1000</f>
        <v>85.117500000000007</v>
      </c>
      <c r="E33" s="21">
        <f>Table2[[#This Row],[GHG (tCH4)]]*$F$10/1000</f>
        <v>2.1279374999999998</v>
      </c>
      <c r="G33" s="111">
        <f>Table2[[#This Row],[Area Available (ha)]]*$G$15</f>
        <v>3880</v>
      </c>
      <c r="H33" s="112">
        <f t="shared" si="0"/>
        <v>68.093999999999994</v>
      </c>
      <c r="I33" s="112">
        <f t="shared" si="1"/>
        <v>1.7023499999999998</v>
      </c>
    </row>
    <row r="34" spans="1:9" x14ac:dyDescent="0.25">
      <c r="A34">
        <v>2023</v>
      </c>
      <c r="B34" s="8">
        <v>48000</v>
      </c>
      <c r="C34" s="8">
        <f>Table2[[#This Row],[Area Available (ha)]]*$F$11</f>
        <v>4800</v>
      </c>
      <c r="D34" s="20">
        <f>Table2[[#This Row],[Area Burnt (ha)]]*$F$7*$F$8*$F$9/1000</f>
        <v>84.24</v>
      </c>
      <c r="E34" s="21">
        <f>Table2[[#This Row],[GHG (tCH4)]]*$F$10/1000</f>
        <v>2.1059999999999999</v>
      </c>
      <c r="G34" s="111">
        <f>Table2[[#This Row],[Area Available (ha)]]*$G$15</f>
        <v>3840</v>
      </c>
      <c r="H34" s="112">
        <f t="shared" si="0"/>
        <v>67.391999999999996</v>
      </c>
      <c r="I34" s="112">
        <f t="shared" si="1"/>
        <v>1.6847999999999999</v>
      </c>
    </row>
    <row r="35" spans="1:9" x14ac:dyDescent="0.25">
      <c r="A35">
        <v>2024</v>
      </c>
      <c r="B35" s="8">
        <v>47500</v>
      </c>
      <c r="C35" s="8">
        <f>Table2[[#This Row],[Area Available (ha)]]*$F$11</f>
        <v>4750</v>
      </c>
      <c r="D35" s="20">
        <f>Table2[[#This Row],[Area Burnt (ha)]]*$F$7*$F$8*$F$9/1000</f>
        <v>83.362499999999997</v>
      </c>
      <c r="E35" s="21">
        <f>Table2[[#This Row],[GHG (tCH4)]]*$F$10/1000</f>
        <v>2.0840624999999999</v>
      </c>
      <c r="G35" s="111">
        <f>Table2[[#This Row],[Area Available (ha)]]*$G$15</f>
        <v>3800</v>
      </c>
      <c r="H35" s="112">
        <f t="shared" si="0"/>
        <v>66.69</v>
      </c>
      <c r="I35" s="112">
        <f t="shared" si="1"/>
        <v>1.6672499999999999</v>
      </c>
    </row>
    <row r="36" spans="1:9" x14ac:dyDescent="0.25">
      <c r="A36">
        <v>2025</v>
      </c>
      <c r="B36" s="8">
        <v>47000</v>
      </c>
      <c r="C36" s="8">
        <f>Table2[[#This Row],[Area Available (ha)]]*$F$11</f>
        <v>4700</v>
      </c>
      <c r="D36" s="20">
        <f>Table2[[#This Row],[Area Burnt (ha)]]*$F$7*$F$8*$F$9/1000</f>
        <v>82.484999999999999</v>
      </c>
      <c r="E36" s="21">
        <f>Table2[[#This Row],[GHG (tCH4)]]*$F$10/1000</f>
        <v>2.062125</v>
      </c>
      <c r="G36" s="111">
        <f>Table2[[#This Row],[Area Available (ha)]]*$I$15</f>
        <v>3760</v>
      </c>
      <c r="H36" s="112">
        <f t="shared" si="0"/>
        <v>65.988</v>
      </c>
      <c r="I36" s="112">
        <f t="shared" si="1"/>
        <v>1.6496999999999999</v>
      </c>
    </row>
    <row r="37" spans="1:9" x14ac:dyDescent="0.25">
      <c r="A37">
        <v>2026</v>
      </c>
      <c r="B37" s="8">
        <v>46500</v>
      </c>
      <c r="C37" s="8">
        <f>Table2[[#This Row],[Area Available (ha)]]*$F$11</f>
        <v>4650</v>
      </c>
      <c r="D37" s="20">
        <f>Table2[[#This Row],[Area Burnt (ha)]]*$F$7*$F$8*$F$9/1000</f>
        <v>81.607500000000002</v>
      </c>
      <c r="E37" s="21">
        <f>Table2[[#This Row],[GHG (tCH4)]]*$F$10/1000</f>
        <v>2.0401875</v>
      </c>
      <c r="G37" s="111">
        <f>Table2[[#This Row],[Area Available (ha)]]*$I$15</f>
        <v>3720</v>
      </c>
      <c r="H37" s="112">
        <f t="shared" si="0"/>
        <v>65.286000000000001</v>
      </c>
      <c r="I37" s="112">
        <f t="shared" si="1"/>
        <v>1.63215</v>
      </c>
    </row>
    <row r="38" spans="1:9" x14ac:dyDescent="0.25">
      <c r="A38">
        <v>2027</v>
      </c>
      <c r="B38" s="8">
        <v>46000</v>
      </c>
      <c r="C38" s="8">
        <f>Table2[[#This Row],[Area Available (ha)]]*$F$11</f>
        <v>4600</v>
      </c>
      <c r="D38" s="20">
        <f>Table2[[#This Row],[Area Burnt (ha)]]*$F$7*$F$8*$F$9/1000</f>
        <v>80.73</v>
      </c>
      <c r="E38" s="21">
        <f>Table2[[#This Row],[GHG (tCH4)]]*$F$10/1000</f>
        <v>2.0182500000000001</v>
      </c>
      <c r="G38" s="111">
        <f>Table2[[#This Row],[Area Available (ha)]]*$I$15</f>
        <v>3680</v>
      </c>
      <c r="H38" s="112">
        <f t="shared" si="0"/>
        <v>64.584000000000003</v>
      </c>
      <c r="I38" s="112">
        <f t="shared" si="1"/>
        <v>1.6146</v>
      </c>
    </row>
    <row r="39" spans="1:9" x14ac:dyDescent="0.25">
      <c r="A39">
        <v>2028</v>
      </c>
      <c r="B39" s="8">
        <v>45500</v>
      </c>
      <c r="C39" s="8">
        <f>Table2[[#This Row],[Area Available (ha)]]*$F$11</f>
        <v>4550</v>
      </c>
      <c r="D39" s="20">
        <f>Table2[[#This Row],[Area Burnt (ha)]]*$F$7*$F$8*$F$9/1000</f>
        <v>79.852500000000006</v>
      </c>
      <c r="E39" s="21">
        <f>Table2[[#This Row],[GHG (tCH4)]]*$F$10/1000</f>
        <v>1.9963125000000002</v>
      </c>
      <c r="G39" s="111">
        <f>Table2[[#This Row],[Area Available (ha)]]*$I$15</f>
        <v>3640</v>
      </c>
      <c r="H39" s="112">
        <f t="shared" si="0"/>
        <v>63.882000000000005</v>
      </c>
      <c r="I39" s="112">
        <f t="shared" si="1"/>
        <v>1.5970500000000001</v>
      </c>
    </row>
    <row r="40" spans="1:9" x14ac:dyDescent="0.25">
      <c r="A40">
        <v>2029</v>
      </c>
      <c r="B40" s="8">
        <v>45250</v>
      </c>
      <c r="C40" s="8">
        <f>Table2[[#This Row],[Area Available (ha)]]*$F$11</f>
        <v>4525</v>
      </c>
      <c r="D40" s="20">
        <f>Table2[[#This Row],[Area Burnt (ha)]]*$F$7*$F$8*$F$9/1000</f>
        <v>79.413749999999993</v>
      </c>
      <c r="E40" s="21">
        <f>Table2[[#This Row],[GHG (tCH4)]]*$F$10/1000</f>
        <v>1.9853437499999997</v>
      </c>
      <c r="G40" s="111">
        <f>Table2[[#This Row],[Area Available (ha)]]*$I$15</f>
        <v>3620</v>
      </c>
      <c r="H40" s="112">
        <f t="shared" si="0"/>
        <v>63.531000000000006</v>
      </c>
      <c r="I40" s="112">
        <f t="shared" si="1"/>
        <v>1.5882750000000001</v>
      </c>
    </row>
    <row r="41" spans="1:9" x14ac:dyDescent="0.25">
      <c r="A41">
        <v>2030</v>
      </c>
      <c r="B41" s="8">
        <v>45000</v>
      </c>
      <c r="C41" s="8">
        <f>Table2[[#This Row],[Area Available (ha)]]*$F$11</f>
        <v>4500</v>
      </c>
      <c r="D41" s="20">
        <f>Table2[[#This Row],[Area Burnt (ha)]]*$F$7*$F$8*$F$9/1000</f>
        <v>78.974999999999994</v>
      </c>
      <c r="E41" s="21">
        <f>Table2[[#This Row],[GHG (tCH4)]]*$F$10/1000</f>
        <v>1.9743749999999998</v>
      </c>
      <c r="G41" s="111">
        <f>Table2[[#This Row],[Area Available (ha)]]*$I$15</f>
        <v>3600</v>
      </c>
      <c r="H41" s="112">
        <f t="shared" si="0"/>
        <v>63.180000000000007</v>
      </c>
      <c r="I41" s="112">
        <f t="shared" si="1"/>
        <v>1.5795000000000001</v>
      </c>
    </row>
    <row r="42" spans="1:9" x14ac:dyDescent="0.25">
      <c r="A42">
        <v>2035</v>
      </c>
      <c r="B42" s="8">
        <v>44000</v>
      </c>
      <c r="C42" s="8">
        <f>Table2[[#This Row],[Area Available (ha)]]*$F$11</f>
        <v>4400</v>
      </c>
      <c r="D42" s="20">
        <f>Table2[[#This Row],[Area Burnt (ha)]]*$F$7*$F$8*$F$9/1000</f>
        <v>77.22</v>
      </c>
      <c r="E42" s="21">
        <f>Table2[[#This Row],[GHG (tCH4)]]*$F$10/1000</f>
        <v>1.9305000000000001</v>
      </c>
      <c r="G42" s="111">
        <f>Table2[[#This Row],[Area Available (ha)]]*$K$15</f>
        <v>3080.0000000000005</v>
      </c>
      <c r="H42" s="112">
        <f t="shared" si="0"/>
        <v>54.054000000000016</v>
      </c>
      <c r="I42" s="112">
        <f t="shared" si="1"/>
        <v>1.3513500000000003</v>
      </c>
    </row>
    <row r="43" spans="1:9" x14ac:dyDescent="0.25">
      <c r="A43">
        <v>2040</v>
      </c>
      <c r="B43" s="8">
        <v>43000</v>
      </c>
      <c r="C43" s="8">
        <f>Table2[[#This Row],[Area Available (ha)]]*$F$11</f>
        <v>4300</v>
      </c>
      <c r="D43" s="20">
        <f>Table2[[#This Row],[Area Burnt (ha)]]*$F$7*$F$8*$F$9/1000</f>
        <v>75.465000000000003</v>
      </c>
      <c r="E43" s="21">
        <f>Table2[[#This Row],[GHG (tCH4)]]*$F$10/1000</f>
        <v>1.886625</v>
      </c>
      <c r="G43" s="111">
        <f>Table2[[#This Row],[Area Available (ha)]]*M15</f>
        <v>2580</v>
      </c>
      <c r="H43" s="112">
        <f t="shared" si="0"/>
        <v>45.279000000000003</v>
      </c>
      <c r="I43" s="112">
        <f t="shared" si="1"/>
        <v>1.1319750000000002</v>
      </c>
    </row>
    <row r="44" spans="1:9" x14ac:dyDescent="0.25">
      <c r="A44">
        <v>2045</v>
      </c>
      <c r="B44" s="8">
        <v>42000</v>
      </c>
      <c r="C44" s="8">
        <f>Table2[[#This Row],[Area Available (ha)]]*$F$11</f>
        <v>4200</v>
      </c>
      <c r="D44" s="20">
        <f>Table2[[#This Row],[Area Burnt (ha)]]*$F$7*$F$8*$F$9/1000</f>
        <v>73.709999999999994</v>
      </c>
      <c r="E44" s="21">
        <f>Table2[[#This Row],[GHG (tCH4)]]*$F$10/1000</f>
        <v>1.8427499999999997</v>
      </c>
      <c r="G44" s="111">
        <f>Table2[[#This Row],[Area Available (ha)]]*O15</f>
        <v>2310</v>
      </c>
      <c r="H44" s="112">
        <f t="shared" si="0"/>
        <v>40.540500000000002</v>
      </c>
      <c r="I44" s="112">
        <f t="shared" si="1"/>
        <v>1.0135125</v>
      </c>
    </row>
    <row r="45" spans="1:9" x14ac:dyDescent="0.25">
      <c r="A45">
        <v>2050</v>
      </c>
      <c r="B45" s="8">
        <v>40000</v>
      </c>
      <c r="C45" s="8">
        <f>Table2[[#This Row],[Area Available (ha)]]*$F$11</f>
        <v>4000</v>
      </c>
      <c r="D45" s="20">
        <f>Table2[[#This Row],[Area Burnt (ha)]]*$F$7*$F$8*$F$9/1000</f>
        <v>70.2</v>
      </c>
      <c r="E45" s="21">
        <f>Table2[[#This Row],[GHG (tCH4)]]*$F$10/1000</f>
        <v>1.7549999999999999</v>
      </c>
      <c r="G45" s="111">
        <f>Table2[[#This Row],[Area Available (ha)]]*Q15</f>
        <v>2000</v>
      </c>
      <c r="H45" s="112">
        <f t="shared" si="0"/>
        <v>35.1</v>
      </c>
      <c r="I45" s="112">
        <f t="shared" si="1"/>
        <v>0.87749999999999995</v>
      </c>
    </row>
  </sheetData>
  <mergeCells count="6">
    <mergeCell ref="A6:C6"/>
    <mergeCell ref="A7:C7"/>
    <mergeCell ref="A9:C9"/>
    <mergeCell ref="A10:C10"/>
    <mergeCell ref="A11:C11"/>
    <mergeCell ref="A8:C8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J12" sqref="J12"/>
    </sheetView>
  </sheetViews>
  <sheetFormatPr defaultRowHeight="15" x14ac:dyDescent="0.25"/>
  <cols>
    <col min="1" max="1" width="19.5703125" style="34" customWidth="1"/>
    <col min="2" max="2" width="37.140625" bestFit="1" customWidth="1"/>
    <col min="3" max="4" width="12.42578125" customWidth="1"/>
    <col min="5" max="5" width="13.28515625" customWidth="1"/>
    <col min="6" max="6" width="12.5703125" customWidth="1"/>
    <col min="7" max="7" width="12.85546875" customWidth="1"/>
    <col min="8" max="8" width="13.5703125" customWidth="1"/>
    <col min="9" max="9" width="12.7109375" customWidth="1"/>
    <col min="10" max="10" width="14.42578125" customWidth="1"/>
  </cols>
  <sheetData>
    <row r="1" spans="1:16" x14ac:dyDescent="0.25">
      <c r="A1" s="41" t="s">
        <v>122</v>
      </c>
      <c r="B1" s="41" t="s">
        <v>36</v>
      </c>
      <c r="C1" s="41">
        <v>2006</v>
      </c>
      <c r="D1" s="41">
        <v>2007</v>
      </c>
      <c r="E1" s="41">
        <v>2008</v>
      </c>
      <c r="F1" s="41">
        <v>2009</v>
      </c>
      <c r="G1" s="41">
        <v>2010</v>
      </c>
      <c r="H1" s="41">
        <v>2011</v>
      </c>
      <c r="I1" s="41">
        <v>2012</v>
      </c>
      <c r="J1" s="41">
        <v>2013</v>
      </c>
      <c r="K1" s="50"/>
      <c r="L1" s="50"/>
      <c r="M1" s="42"/>
      <c r="N1" s="42"/>
      <c r="O1" s="42"/>
      <c r="P1" s="42"/>
    </row>
    <row r="2" spans="1:16" x14ac:dyDescent="0.25">
      <c r="A2" s="41" t="s">
        <v>121</v>
      </c>
      <c r="B2" s="38" t="s">
        <v>113</v>
      </c>
      <c r="C2" s="38">
        <v>6560</v>
      </c>
      <c r="D2" s="38">
        <v>7081</v>
      </c>
      <c r="E2" s="38">
        <v>7327</v>
      </c>
      <c r="F2" s="38">
        <v>7237</v>
      </c>
      <c r="G2" s="45">
        <v>7491</v>
      </c>
      <c r="H2" s="38">
        <v>6596</v>
      </c>
      <c r="I2" s="38">
        <v>7302</v>
      </c>
      <c r="J2" s="38">
        <v>7240</v>
      </c>
      <c r="K2" s="50" t="s">
        <v>120</v>
      </c>
      <c r="L2" s="50"/>
      <c r="M2" s="42"/>
      <c r="N2" s="42"/>
      <c r="O2" s="42"/>
      <c r="P2" s="42"/>
    </row>
    <row r="3" spans="1:16" x14ac:dyDescent="0.25">
      <c r="A3" s="41"/>
      <c r="B3" s="38" t="s">
        <v>111</v>
      </c>
      <c r="C3" s="38">
        <f>357+66+79+3208+7062</f>
        <v>10772</v>
      </c>
      <c r="D3" s="38">
        <f>276+121+53+5202+601+1242+91</f>
        <v>7586</v>
      </c>
      <c r="E3" s="38">
        <f>79+3660+2671+1979</f>
        <v>8389</v>
      </c>
      <c r="F3" s="38">
        <f>72+4943+3323</f>
        <v>8338</v>
      </c>
      <c r="G3" s="45">
        <f>90+3621+3631+793</f>
        <v>8135</v>
      </c>
      <c r="H3" s="38">
        <f>214+1204+2947+3313</f>
        <v>7678</v>
      </c>
      <c r="I3" s="38">
        <f>69+2249+4892+67</f>
        <v>7277</v>
      </c>
      <c r="J3" s="38">
        <v>7045</v>
      </c>
      <c r="K3" s="50" t="s">
        <v>110</v>
      </c>
      <c r="L3" s="50"/>
      <c r="M3" s="42"/>
      <c r="N3" s="42"/>
      <c r="O3" s="42"/>
      <c r="P3" s="42"/>
    </row>
    <row r="4" spans="1:16" x14ac:dyDescent="0.25">
      <c r="A4" s="41"/>
      <c r="B4" s="41" t="s">
        <v>119</v>
      </c>
      <c r="C4" s="47">
        <f t="shared" ref="C4:J4" si="0">C3/4</f>
        <v>2693</v>
      </c>
      <c r="D4" s="47">
        <f t="shared" si="0"/>
        <v>1896.5</v>
      </c>
      <c r="E4" s="47">
        <f t="shared" si="0"/>
        <v>2097.25</v>
      </c>
      <c r="F4" s="47">
        <f t="shared" si="0"/>
        <v>2084.5</v>
      </c>
      <c r="G4" s="47">
        <f t="shared" si="0"/>
        <v>2033.75</v>
      </c>
      <c r="H4" s="47">
        <f t="shared" si="0"/>
        <v>1919.5</v>
      </c>
      <c r="I4" s="47">
        <f t="shared" si="0"/>
        <v>1819.25</v>
      </c>
      <c r="J4" s="47">
        <f t="shared" si="0"/>
        <v>1761.25</v>
      </c>
      <c r="K4" s="50" t="s">
        <v>108</v>
      </c>
      <c r="L4" s="50"/>
      <c r="M4" s="42"/>
      <c r="N4" s="42"/>
      <c r="O4" s="42"/>
      <c r="P4" s="42"/>
    </row>
    <row r="5" spans="1:16" x14ac:dyDescent="0.25">
      <c r="A5" s="41"/>
      <c r="B5" s="38" t="s">
        <v>107</v>
      </c>
      <c r="C5" s="45">
        <f t="shared" ref="C5:I5" si="1">C2+C4</f>
        <v>9253</v>
      </c>
      <c r="D5" s="45">
        <f t="shared" si="1"/>
        <v>8977.5</v>
      </c>
      <c r="E5" s="45">
        <f t="shared" si="1"/>
        <v>9424.25</v>
      </c>
      <c r="F5" s="45">
        <f t="shared" si="1"/>
        <v>9321.5</v>
      </c>
      <c r="G5" s="45">
        <f t="shared" si="1"/>
        <v>9524.75</v>
      </c>
      <c r="H5" s="45">
        <f t="shared" si="1"/>
        <v>8515.5</v>
      </c>
      <c r="I5" s="45">
        <f t="shared" si="1"/>
        <v>9121.25</v>
      </c>
      <c r="J5" s="45">
        <f>J2+J4</f>
        <v>9001.25</v>
      </c>
      <c r="K5" s="50"/>
      <c r="L5" s="50"/>
      <c r="M5" s="42"/>
      <c r="N5" s="42"/>
      <c r="O5" s="42"/>
      <c r="P5" s="42"/>
    </row>
    <row r="6" spans="1:16" x14ac:dyDescent="0.25">
      <c r="A6" s="41"/>
      <c r="B6" s="41" t="s">
        <v>118</v>
      </c>
      <c r="C6" s="41">
        <v>2237</v>
      </c>
      <c r="D6" s="41">
        <v>2163</v>
      </c>
      <c r="E6" s="41">
        <v>2457</v>
      </c>
      <c r="F6" s="41">
        <v>2316</v>
      </c>
      <c r="G6" s="47">
        <v>2679</v>
      </c>
      <c r="H6" s="41">
        <v>2525</v>
      </c>
      <c r="I6" s="41">
        <v>3022</v>
      </c>
      <c r="J6" s="41">
        <v>2874</v>
      </c>
      <c r="K6" s="50" t="s">
        <v>89</v>
      </c>
      <c r="L6" s="50"/>
      <c r="M6" s="42"/>
      <c r="N6" s="42"/>
      <c r="O6" s="42"/>
      <c r="P6" s="42"/>
    </row>
    <row r="7" spans="1:16" x14ac:dyDescent="0.25">
      <c r="A7" s="41"/>
      <c r="B7" s="38" t="s">
        <v>117</v>
      </c>
      <c r="C7" s="45">
        <f>C5-C6</f>
        <v>7016</v>
      </c>
      <c r="D7" s="45">
        <f t="shared" ref="D7:I7" si="2">D5-D6</f>
        <v>6814.5</v>
      </c>
      <c r="E7" s="45">
        <f t="shared" si="2"/>
        <v>6967.25</v>
      </c>
      <c r="F7" s="45">
        <f t="shared" si="2"/>
        <v>7005.5</v>
      </c>
      <c r="G7" s="45">
        <f t="shared" si="2"/>
        <v>6845.75</v>
      </c>
      <c r="H7" s="45">
        <f t="shared" si="2"/>
        <v>5990.5</v>
      </c>
      <c r="I7" s="45">
        <f t="shared" si="2"/>
        <v>6099.25</v>
      </c>
      <c r="J7" s="45">
        <f>J5-J6</f>
        <v>6127.25</v>
      </c>
      <c r="K7" s="50"/>
      <c r="L7" s="50"/>
      <c r="M7" s="42"/>
      <c r="N7" s="42"/>
      <c r="O7" s="42"/>
      <c r="P7" s="42"/>
    </row>
    <row r="8" spans="1:16" x14ac:dyDescent="0.25">
      <c r="A8" s="41"/>
      <c r="B8" s="38"/>
      <c r="C8" s="38"/>
      <c r="D8" s="38"/>
      <c r="E8" s="38"/>
      <c r="F8" s="38"/>
      <c r="G8" s="45"/>
      <c r="H8" s="38"/>
      <c r="I8" s="38"/>
      <c r="J8" s="38"/>
      <c r="K8" s="50"/>
      <c r="L8" s="50"/>
      <c r="M8" s="42"/>
      <c r="N8" s="42"/>
      <c r="O8" s="42"/>
      <c r="P8" s="42"/>
    </row>
    <row r="9" spans="1:16" x14ac:dyDescent="0.25">
      <c r="A9" s="41" t="s">
        <v>116</v>
      </c>
      <c r="B9" s="38" t="s">
        <v>113</v>
      </c>
      <c r="C9" s="38">
        <v>23734</v>
      </c>
      <c r="D9" s="38">
        <v>24805</v>
      </c>
      <c r="E9" s="38">
        <v>25994</v>
      </c>
      <c r="F9" s="38">
        <v>26014</v>
      </c>
      <c r="G9" s="45">
        <v>27819</v>
      </c>
      <c r="H9" s="38">
        <v>28176</v>
      </c>
      <c r="I9" s="38">
        <v>27430</v>
      </c>
      <c r="J9" s="38">
        <v>25702</v>
      </c>
      <c r="K9" s="50" t="s">
        <v>112</v>
      </c>
      <c r="L9" s="50"/>
      <c r="M9" s="42"/>
      <c r="N9" s="42"/>
      <c r="O9" s="42"/>
      <c r="P9" s="42"/>
    </row>
    <row r="10" spans="1:16" x14ac:dyDescent="0.25">
      <c r="A10" s="41"/>
      <c r="B10" s="38" t="s">
        <v>111</v>
      </c>
      <c r="C10" s="38">
        <f>500+2752</f>
        <v>3252</v>
      </c>
      <c r="D10" s="38">
        <f>740+200+1040</f>
        <v>1980</v>
      </c>
      <c r="E10" s="38">
        <f>2382+32</f>
        <v>2414</v>
      </c>
      <c r="F10" s="38">
        <f>1981+746</f>
        <v>2727</v>
      </c>
      <c r="G10" s="45">
        <v>1793</v>
      </c>
      <c r="H10" s="38">
        <v>430</v>
      </c>
      <c r="I10" s="38">
        <f>207+188</f>
        <v>395</v>
      </c>
      <c r="J10" s="38">
        <f>357+566</f>
        <v>923</v>
      </c>
      <c r="K10" s="50" t="s">
        <v>110</v>
      </c>
      <c r="L10" s="50"/>
      <c r="M10" s="42"/>
      <c r="N10" s="42"/>
      <c r="O10" s="42"/>
      <c r="P10" s="42"/>
    </row>
    <row r="11" spans="1:16" x14ac:dyDescent="0.25">
      <c r="A11" s="41"/>
      <c r="B11" s="38" t="s">
        <v>109</v>
      </c>
      <c r="C11" s="45">
        <f t="shared" ref="C11:J11" si="3">C10/4</f>
        <v>813</v>
      </c>
      <c r="D11" s="45">
        <f t="shared" si="3"/>
        <v>495</v>
      </c>
      <c r="E11" s="45">
        <f t="shared" si="3"/>
        <v>603.5</v>
      </c>
      <c r="F11" s="45">
        <f t="shared" si="3"/>
        <v>681.75</v>
      </c>
      <c r="G11" s="45">
        <f t="shared" si="3"/>
        <v>448.25</v>
      </c>
      <c r="H11" s="45">
        <f t="shared" si="3"/>
        <v>107.5</v>
      </c>
      <c r="I11" s="45">
        <f t="shared" si="3"/>
        <v>98.75</v>
      </c>
      <c r="J11" s="45">
        <f t="shared" si="3"/>
        <v>230.75</v>
      </c>
      <c r="K11" s="50" t="s">
        <v>108</v>
      </c>
      <c r="L11" s="50"/>
      <c r="M11" s="42"/>
      <c r="N11" s="42"/>
      <c r="O11" s="42"/>
      <c r="P11" s="42"/>
    </row>
    <row r="12" spans="1:16" x14ac:dyDescent="0.25">
      <c r="A12" s="41"/>
      <c r="B12" s="38" t="s">
        <v>115</v>
      </c>
      <c r="C12" s="47">
        <f>C9+C11</f>
        <v>24547</v>
      </c>
      <c r="D12" s="47">
        <f t="shared" ref="D12:J12" si="4">D9+D11</f>
        <v>25300</v>
      </c>
      <c r="E12" s="47">
        <f t="shared" si="4"/>
        <v>26597.5</v>
      </c>
      <c r="F12" s="47">
        <f t="shared" si="4"/>
        <v>26695.75</v>
      </c>
      <c r="G12" s="47">
        <f t="shared" si="4"/>
        <v>28267.25</v>
      </c>
      <c r="H12" s="47">
        <f t="shared" si="4"/>
        <v>28283.5</v>
      </c>
      <c r="I12" s="47">
        <f t="shared" si="4"/>
        <v>27528.75</v>
      </c>
      <c r="J12" s="47">
        <f t="shared" si="4"/>
        <v>25932.75</v>
      </c>
      <c r="K12" s="50"/>
      <c r="L12" s="50"/>
      <c r="M12" s="42"/>
      <c r="N12" s="42"/>
      <c r="O12" s="42"/>
      <c r="P12" s="42"/>
    </row>
    <row r="13" spans="1:16" x14ac:dyDescent="0.25">
      <c r="A13" s="41"/>
      <c r="B13" s="38"/>
      <c r="C13" s="38"/>
      <c r="D13" s="38"/>
      <c r="E13" s="38"/>
      <c r="F13" s="38"/>
      <c r="G13" s="45"/>
      <c r="H13" s="38"/>
      <c r="I13" s="38"/>
      <c r="J13" s="38"/>
      <c r="K13" s="50"/>
      <c r="L13" s="50"/>
      <c r="M13" s="42"/>
      <c r="N13" s="42"/>
      <c r="O13" s="42"/>
      <c r="P13" s="42"/>
    </row>
    <row r="14" spans="1:16" x14ac:dyDescent="0.25">
      <c r="A14" s="41" t="s">
        <v>114</v>
      </c>
      <c r="B14" s="38" t="s">
        <v>113</v>
      </c>
      <c r="C14" s="38">
        <v>1264</v>
      </c>
      <c r="D14" s="38">
        <v>1110</v>
      </c>
      <c r="E14" s="38">
        <v>1548</v>
      </c>
      <c r="F14" s="38">
        <v>2023</v>
      </c>
      <c r="G14" s="45">
        <v>2022</v>
      </c>
      <c r="H14" s="38">
        <v>1931</v>
      </c>
      <c r="I14" s="38">
        <v>2211</v>
      </c>
      <c r="J14" s="38">
        <v>2510</v>
      </c>
      <c r="K14" s="50" t="s">
        <v>112</v>
      </c>
      <c r="L14" s="50"/>
      <c r="M14" s="42"/>
      <c r="N14" s="42"/>
      <c r="O14" s="42"/>
      <c r="P14" s="42"/>
    </row>
    <row r="15" spans="1:16" x14ac:dyDescent="0.25">
      <c r="A15" s="41"/>
      <c r="B15" s="38" t="s">
        <v>111</v>
      </c>
      <c r="C15" s="38">
        <v>55</v>
      </c>
      <c r="D15" s="38">
        <f>316+3+4</f>
        <v>323</v>
      </c>
      <c r="E15" s="38">
        <f>225+191</f>
        <v>416</v>
      </c>
      <c r="F15" s="38">
        <v>427</v>
      </c>
      <c r="G15" s="45">
        <f>111+185</f>
        <v>296</v>
      </c>
      <c r="H15" s="38">
        <f>38+212</f>
        <v>250</v>
      </c>
      <c r="I15" s="38">
        <f>56+148</f>
        <v>204</v>
      </c>
      <c r="J15" s="38">
        <f>60+58</f>
        <v>118</v>
      </c>
      <c r="K15" s="50" t="s">
        <v>110</v>
      </c>
      <c r="L15" s="50"/>
      <c r="M15" s="42"/>
      <c r="N15" s="42"/>
      <c r="O15" s="42"/>
      <c r="P15" s="42"/>
    </row>
    <row r="16" spans="1:16" x14ac:dyDescent="0.25">
      <c r="A16" s="41"/>
      <c r="B16" s="38" t="s">
        <v>109</v>
      </c>
      <c r="C16" s="45">
        <f t="shared" ref="C16:J16" si="5">C15/4</f>
        <v>13.75</v>
      </c>
      <c r="D16" s="45">
        <f t="shared" si="5"/>
        <v>80.75</v>
      </c>
      <c r="E16" s="45">
        <f t="shared" si="5"/>
        <v>104</v>
      </c>
      <c r="F16" s="45">
        <f t="shared" si="5"/>
        <v>106.75</v>
      </c>
      <c r="G16" s="45">
        <f t="shared" si="5"/>
        <v>74</v>
      </c>
      <c r="H16" s="45">
        <f t="shared" si="5"/>
        <v>62.5</v>
      </c>
      <c r="I16" s="45">
        <f t="shared" si="5"/>
        <v>51</v>
      </c>
      <c r="J16" s="45">
        <f t="shared" si="5"/>
        <v>29.5</v>
      </c>
      <c r="K16" s="50" t="s">
        <v>108</v>
      </c>
      <c r="L16" s="50"/>
      <c r="M16" s="42"/>
      <c r="N16" s="42"/>
      <c r="O16" s="42"/>
      <c r="P16" s="42"/>
    </row>
    <row r="17" spans="1:16" x14ac:dyDescent="0.25">
      <c r="A17" s="41"/>
      <c r="B17" s="38" t="s">
        <v>107</v>
      </c>
      <c r="C17" s="47">
        <f t="shared" ref="C17:J17" si="6">C14+C16</f>
        <v>1277.75</v>
      </c>
      <c r="D17" s="47">
        <f t="shared" si="6"/>
        <v>1190.75</v>
      </c>
      <c r="E17" s="47">
        <f t="shared" si="6"/>
        <v>1652</v>
      </c>
      <c r="F17" s="47">
        <f t="shared" si="6"/>
        <v>2129.75</v>
      </c>
      <c r="G17" s="47">
        <f t="shared" si="6"/>
        <v>2096</v>
      </c>
      <c r="H17" s="47">
        <f t="shared" si="6"/>
        <v>1993.5</v>
      </c>
      <c r="I17" s="47">
        <f t="shared" si="6"/>
        <v>2262</v>
      </c>
      <c r="J17" s="47">
        <f t="shared" si="6"/>
        <v>2539.5</v>
      </c>
      <c r="K17" s="50"/>
      <c r="L17" s="50"/>
      <c r="M17" s="42"/>
      <c r="N17" s="42"/>
      <c r="O17" s="42"/>
      <c r="P17" s="42"/>
    </row>
    <row r="18" spans="1:16" x14ac:dyDescent="0.25">
      <c r="A18" s="41"/>
      <c r="B18" s="38"/>
      <c r="C18" s="38"/>
      <c r="D18" s="38"/>
      <c r="E18" s="38"/>
      <c r="F18" s="38"/>
      <c r="G18" s="45"/>
      <c r="H18" s="38"/>
      <c r="I18" s="38"/>
      <c r="J18" s="38"/>
      <c r="K18" s="50"/>
      <c r="L18" s="50"/>
      <c r="M18" s="42"/>
      <c r="N18" s="42"/>
      <c r="O18" s="42"/>
      <c r="P18" s="42"/>
    </row>
    <row r="19" spans="1:16" x14ac:dyDescent="0.25">
      <c r="A19" s="41" t="s">
        <v>106</v>
      </c>
      <c r="B19" s="38"/>
      <c r="C19" s="41">
        <v>15319</v>
      </c>
      <c r="D19" s="41">
        <v>17413</v>
      </c>
      <c r="E19" s="41">
        <v>6699</v>
      </c>
      <c r="F19" s="41">
        <v>14108</v>
      </c>
      <c r="G19" s="47">
        <v>22327</v>
      </c>
      <c r="H19" s="41">
        <v>23285</v>
      </c>
      <c r="I19" s="41">
        <v>15287</v>
      </c>
      <c r="J19" s="41">
        <v>15961</v>
      </c>
      <c r="K19" s="50" t="s">
        <v>105</v>
      </c>
      <c r="L19" s="50"/>
      <c r="M19" s="42"/>
      <c r="N19" s="42"/>
      <c r="O19" s="42"/>
      <c r="P19" s="42"/>
    </row>
    <row r="20" spans="1:16" x14ac:dyDescent="0.25">
      <c r="A20" s="41"/>
      <c r="B20" s="38"/>
      <c r="C20" s="38"/>
      <c r="D20" s="53"/>
      <c r="E20" s="53"/>
      <c r="F20" s="53"/>
      <c r="G20" s="44"/>
      <c r="H20" s="53"/>
      <c r="I20" s="53"/>
      <c r="J20" s="53"/>
      <c r="K20" s="50" t="s">
        <v>104</v>
      </c>
      <c r="L20" s="50"/>
      <c r="M20" s="42"/>
      <c r="N20" s="42"/>
      <c r="O20" s="42"/>
      <c r="P20" s="42"/>
    </row>
    <row r="21" spans="1:16" x14ac:dyDescent="0.25">
      <c r="A21" s="41" t="s">
        <v>103</v>
      </c>
      <c r="B21" s="38" t="s">
        <v>95</v>
      </c>
      <c r="C21" s="38">
        <v>36000</v>
      </c>
      <c r="D21" s="38">
        <v>40160</v>
      </c>
      <c r="E21" s="38">
        <v>42200</v>
      </c>
      <c r="F21" s="38">
        <v>44200</v>
      </c>
      <c r="G21" s="45">
        <v>46200</v>
      </c>
      <c r="H21" s="38">
        <v>47200</v>
      </c>
      <c r="I21" s="38">
        <v>47400</v>
      </c>
      <c r="J21" s="38">
        <v>46800</v>
      </c>
      <c r="K21" s="50" t="s">
        <v>94</v>
      </c>
      <c r="L21" s="50"/>
      <c r="M21" s="42"/>
      <c r="N21" s="42"/>
      <c r="O21" s="42"/>
      <c r="P21" s="42"/>
    </row>
    <row r="22" spans="1:16" ht="30" x14ac:dyDescent="0.25">
      <c r="A22" s="41"/>
      <c r="B22" s="51" t="s">
        <v>102</v>
      </c>
      <c r="C22" s="38">
        <v>1.5</v>
      </c>
      <c r="D22" s="38">
        <v>1.5</v>
      </c>
      <c r="E22" s="38">
        <v>1.5</v>
      </c>
      <c r="F22" s="38">
        <v>1.5</v>
      </c>
      <c r="G22" s="38">
        <v>1.5</v>
      </c>
      <c r="H22" s="38">
        <v>1.5</v>
      </c>
      <c r="I22" s="38">
        <v>1.5</v>
      </c>
      <c r="J22" s="38">
        <v>1.5</v>
      </c>
      <c r="K22" s="50"/>
      <c r="L22" s="50"/>
      <c r="M22" s="42"/>
      <c r="N22" s="42"/>
      <c r="O22" s="42"/>
      <c r="P22" s="42"/>
    </row>
    <row r="23" spans="1:16" x14ac:dyDescent="0.25">
      <c r="A23" s="41"/>
      <c r="B23" s="38" t="s">
        <v>101</v>
      </c>
      <c r="C23" s="38">
        <f>C21*1000/C22</f>
        <v>24000000</v>
      </c>
      <c r="D23" s="45">
        <f t="shared" ref="D23:J23" si="7">D21*1000/D22</f>
        <v>26773333.333333332</v>
      </c>
      <c r="E23" s="45">
        <f t="shared" si="7"/>
        <v>28133333.333333332</v>
      </c>
      <c r="F23" s="45">
        <f t="shared" si="7"/>
        <v>29466666.666666668</v>
      </c>
      <c r="G23" s="45">
        <f t="shared" si="7"/>
        <v>30800000</v>
      </c>
      <c r="H23" s="45">
        <f t="shared" si="7"/>
        <v>31466666.666666668</v>
      </c>
      <c r="I23" s="45">
        <f t="shared" si="7"/>
        <v>31600000</v>
      </c>
      <c r="J23" s="45">
        <f t="shared" si="7"/>
        <v>31200000</v>
      </c>
      <c r="K23" s="50"/>
      <c r="L23" s="50"/>
      <c r="M23" s="42"/>
      <c r="N23" s="42"/>
      <c r="O23" s="42"/>
      <c r="P23" s="42"/>
    </row>
    <row r="24" spans="1:16" x14ac:dyDescent="0.25">
      <c r="A24" s="41"/>
      <c r="B24" s="38" t="s">
        <v>100</v>
      </c>
      <c r="C24" s="45">
        <v>6</v>
      </c>
      <c r="D24" s="45">
        <v>6</v>
      </c>
      <c r="E24" s="45">
        <v>6</v>
      </c>
      <c r="F24" s="45">
        <v>6</v>
      </c>
      <c r="G24" s="45">
        <v>6</v>
      </c>
      <c r="H24" s="45">
        <v>6</v>
      </c>
      <c r="I24" s="45">
        <v>6</v>
      </c>
      <c r="J24" s="45">
        <v>6</v>
      </c>
      <c r="K24" s="50"/>
      <c r="L24" s="50"/>
      <c r="M24" s="42"/>
      <c r="N24" s="42"/>
      <c r="O24" s="42"/>
      <c r="P24" s="42"/>
    </row>
    <row r="25" spans="1:16" x14ac:dyDescent="0.25">
      <c r="A25" s="41"/>
      <c r="B25" s="41" t="s">
        <v>99</v>
      </c>
      <c r="C25" s="52">
        <f t="shared" ref="C25:J25" si="8">C23/C24</f>
        <v>4000000</v>
      </c>
      <c r="D25" s="52">
        <f t="shared" si="8"/>
        <v>4462222.222222222</v>
      </c>
      <c r="E25" s="52">
        <f t="shared" si="8"/>
        <v>4688888.888888889</v>
      </c>
      <c r="F25" s="52">
        <f t="shared" si="8"/>
        <v>4911111.111111111</v>
      </c>
      <c r="G25" s="52">
        <f t="shared" si="8"/>
        <v>5133333.333333333</v>
      </c>
      <c r="H25" s="52">
        <f t="shared" si="8"/>
        <v>5244444.444444445</v>
      </c>
      <c r="I25" s="52">
        <f t="shared" si="8"/>
        <v>5266666.666666667</v>
      </c>
      <c r="J25" s="52">
        <f t="shared" si="8"/>
        <v>5200000</v>
      </c>
      <c r="K25" s="50"/>
      <c r="L25" s="50"/>
      <c r="M25" s="42"/>
      <c r="N25" s="42"/>
      <c r="O25" s="42"/>
      <c r="P25" s="42"/>
    </row>
    <row r="26" spans="1:16" ht="30" x14ac:dyDescent="0.25">
      <c r="A26" s="41"/>
      <c r="B26" s="51" t="s">
        <v>98</v>
      </c>
      <c r="C26" s="52">
        <f t="shared" ref="C26:J26" si="9">C23/300</f>
        <v>80000</v>
      </c>
      <c r="D26" s="52">
        <f t="shared" si="9"/>
        <v>89244.444444444438</v>
      </c>
      <c r="E26" s="52">
        <f t="shared" si="9"/>
        <v>93777.777777777766</v>
      </c>
      <c r="F26" s="52">
        <f t="shared" si="9"/>
        <v>98222.222222222234</v>
      </c>
      <c r="G26" s="52">
        <f t="shared" si="9"/>
        <v>102666.66666666667</v>
      </c>
      <c r="H26" s="52">
        <f t="shared" si="9"/>
        <v>104888.88888888889</v>
      </c>
      <c r="I26" s="52">
        <f t="shared" si="9"/>
        <v>105333.33333333333</v>
      </c>
      <c r="J26" s="52">
        <f t="shared" si="9"/>
        <v>104000</v>
      </c>
      <c r="K26" s="50"/>
      <c r="L26" s="50"/>
      <c r="M26" s="42"/>
      <c r="N26" s="42"/>
      <c r="O26" s="42"/>
      <c r="P26" s="42"/>
    </row>
    <row r="27" spans="1:16" x14ac:dyDescent="0.25">
      <c r="A27" s="41"/>
      <c r="B27" s="38" t="s">
        <v>97</v>
      </c>
      <c r="C27" s="43">
        <f t="shared" ref="C27:J27" si="10">C25+C26</f>
        <v>4080000</v>
      </c>
      <c r="D27" s="43">
        <f t="shared" si="10"/>
        <v>4551466.666666666</v>
      </c>
      <c r="E27" s="43">
        <f t="shared" si="10"/>
        <v>4782666.666666667</v>
      </c>
      <c r="F27" s="43">
        <f t="shared" si="10"/>
        <v>5009333.333333333</v>
      </c>
      <c r="G27" s="43">
        <f t="shared" si="10"/>
        <v>5236000</v>
      </c>
      <c r="H27" s="43">
        <f t="shared" si="10"/>
        <v>5349333.333333334</v>
      </c>
      <c r="I27" s="43">
        <f t="shared" si="10"/>
        <v>5372000</v>
      </c>
      <c r="J27" s="43">
        <f t="shared" si="10"/>
        <v>5304000</v>
      </c>
      <c r="K27" s="50"/>
      <c r="L27" s="50"/>
      <c r="M27" s="42"/>
      <c r="N27" s="42"/>
      <c r="O27" s="42"/>
      <c r="P27" s="42"/>
    </row>
    <row r="28" spans="1:16" x14ac:dyDescent="0.25">
      <c r="A28" s="41"/>
      <c r="B28" s="38"/>
      <c r="C28" s="45"/>
      <c r="D28" s="45"/>
      <c r="E28" s="45"/>
      <c r="F28" s="45"/>
      <c r="G28" s="45"/>
      <c r="H28" s="45"/>
      <c r="I28" s="45"/>
      <c r="J28" s="45"/>
      <c r="K28" s="50"/>
      <c r="L28" s="50"/>
      <c r="M28" s="42"/>
      <c r="N28" s="42"/>
      <c r="O28" s="42"/>
      <c r="P28" s="42"/>
    </row>
    <row r="29" spans="1:16" x14ac:dyDescent="0.25">
      <c r="A29" s="41" t="s">
        <v>96</v>
      </c>
      <c r="B29" s="38" t="s">
        <v>95</v>
      </c>
      <c r="C29" s="38">
        <v>228.5</v>
      </c>
      <c r="D29" s="38">
        <v>211.8</v>
      </c>
      <c r="E29" s="38">
        <v>211.8</v>
      </c>
      <c r="F29" s="38">
        <v>170.9</v>
      </c>
      <c r="G29" s="38">
        <v>185.4</v>
      </c>
      <c r="H29" s="38">
        <v>185.4</v>
      </c>
      <c r="I29" s="38">
        <v>203.6</v>
      </c>
      <c r="J29" s="38">
        <v>205.5</v>
      </c>
      <c r="K29" s="50" t="s">
        <v>94</v>
      </c>
      <c r="L29" s="50"/>
      <c r="M29" s="42"/>
      <c r="N29" s="42"/>
      <c r="O29" s="42"/>
      <c r="P29" s="42"/>
    </row>
    <row r="30" spans="1:16" ht="30" x14ac:dyDescent="0.25">
      <c r="A30" s="41"/>
      <c r="B30" s="51" t="s">
        <v>93</v>
      </c>
      <c r="C30" s="45">
        <f t="shared" ref="C30:J30" si="11">C29*1000000/300</f>
        <v>761666.66666666663</v>
      </c>
      <c r="D30" s="45">
        <f t="shared" si="11"/>
        <v>706000</v>
      </c>
      <c r="E30" s="45">
        <f t="shared" si="11"/>
        <v>706000</v>
      </c>
      <c r="F30" s="45">
        <f t="shared" si="11"/>
        <v>569666.66666666663</v>
      </c>
      <c r="G30" s="45">
        <f t="shared" si="11"/>
        <v>618000</v>
      </c>
      <c r="H30" s="45">
        <f t="shared" si="11"/>
        <v>618000</v>
      </c>
      <c r="I30" s="45">
        <f t="shared" si="11"/>
        <v>678666.66666666663</v>
      </c>
      <c r="J30" s="45">
        <f t="shared" si="11"/>
        <v>685000</v>
      </c>
      <c r="K30" s="42"/>
      <c r="L30" s="42"/>
      <c r="M30" s="42"/>
      <c r="N30" s="42"/>
      <c r="O30" s="42"/>
      <c r="P30" s="42"/>
    </row>
    <row r="31" spans="1:16" ht="30" x14ac:dyDescent="0.25">
      <c r="A31" s="41"/>
      <c r="B31" s="51" t="s">
        <v>92</v>
      </c>
      <c r="C31" s="45">
        <f t="shared" ref="C31:J31" si="12">C30/300</f>
        <v>2538.8888888888887</v>
      </c>
      <c r="D31" s="45">
        <f t="shared" si="12"/>
        <v>2353.3333333333335</v>
      </c>
      <c r="E31" s="45">
        <f t="shared" si="12"/>
        <v>2353.3333333333335</v>
      </c>
      <c r="F31" s="45">
        <f t="shared" si="12"/>
        <v>1898.8888888888887</v>
      </c>
      <c r="G31" s="45">
        <f t="shared" si="12"/>
        <v>2060</v>
      </c>
      <c r="H31" s="45">
        <f t="shared" si="12"/>
        <v>2060</v>
      </c>
      <c r="I31" s="45">
        <f t="shared" si="12"/>
        <v>2262.2222222222222</v>
      </c>
      <c r="J31" s="45">
        <f t="shared" si="12"/>
        <v>2283.3333333333335</v>
      </c>
      <c r="K31" s="36"/>
      <c r="L31" s="36"/>
      <c r="M31" s="36"/>
      <c r="N31" s="36"/>
      <c r="O31" s="36"/>
      <c r="P31" s="36"/>
    </row>
    <row r="32" spans="1:16" x14ac:dyDescent="0.25">
      <c r="A32" s="41"/>
      <c r="B32" s="41" t="s">
        <v>91</v>
      </c>
      <c r="C32" s="47">
        <f t="shared" ref="C32:J32" si="13">C30+C31</f>
        <v>764205.5555555555</v>
      </c>
      <c r="D32" s="46">
        <f t="shared" si="13"/>
        <v>708353.33333333337</v>
      </c>
      <c r="E32" s="46">
        <f t="shared" si="13"/>
        <v>708353.33333333337</v>
      </c>
      <c r="F32" s="46">
        <f t="shared" si="13"/>
        <v>571565.5555555555</v>
      </c>
      <c r="G32" s="46">
        <f t="shared" si="13"/>
        <v>620060</v>
      </c>
      <c r="H32" s="46">
        <f t="shared" si="13"/>
        <v>620060</v>
      </c>
      <c r="I32" s="46">
        <f t="shared" si="13"/>
        <v>680928.88888888888</v>
      </c>
      <c r="J32" s="46">
        <f t="shared" si="13"/>
        <v>687283.33333333337</v>
      </c>
      <c r="K32" s="36"/>
      <c r="L32" s="36"/>
      <c r="M32" s="36"/>
      <c r="N32" s="36"/>
      <c r="O32" s="36"/>
      <c r="P32" s="36"/>
    </row>
    <row r="33" spans="1:16" x14ac:dyDescent="0.25">
      <c r="A33" s="41"/>
      <c r="B33" s="38"/>
      <c r="C33" s="45"/>
      <c r="D33" s="44"/>
      <c r="E33" s="44"/>
      <c r="F33" s="44"/>
      <c r="G33" s="44"/>
      <c r="H33" s="44"/>
      <c r="I33" s="44"/>
      <c r="J33" s="44"/>
      <c r="K33" s="36"/>
      <c r="L33" s="36"/>
      <c r="M33" s="36"/>
      <c r="N33" s="36"/>
      <c r="O33" s="36"/>
      <c r="P33" s="36"/>
    </row>
    <row r="34" spans="1:16" s="49" customFormat="1" x14ac:dyDescent="0.25">
      <c r="A34" s="41" t="s">
        <v>90</v>
      </c>
      <c r="B34" s="38"/>
      <c r="C34" s="45">
        <v>5500</v>
      </c>
      <c r="D34" s="38">
        <v>5758</v>
      </c>
      <c r="E34" s="38">
        <v>6126</v>
      </c>
      <c r="F34" s="38">
        <v>7653</v>
      </c>
      <c r="G34" s="38">
        <v>7653</v>
      </c>
      <c r="H34" s="38">
        <v>8077</v>
      </c>
      <c r="I34" s="38">
        <v>7194</v>
      </c>
      <c r="J34" s="38">
        <v>8497</v>
      </c>
      <c r="K34" s="50" t="s">
        <v>89</v>
      </c>
      <c r="L34" s="50"/>
      <c r="M34" s="50"/>
      <c r="N34" s="50"/>
      <c r="O34" s="50"/>
      <c r="P34" s="50"/>
    </row>
    <row r="35" spans="1:16" x14ac:dyDescent="0.25">
      <c r="A35" s="41"/>
      <c r="B35" s="38" t="s">
        <v>88</v>
      </c>
      <c r="C35" s="45">
        <v>2</v>
      </c>
      <c r="D35" s="45">
        <v>2</v>
      </c>
      <c r="E35" s="45">
        <v>2</v>
      </c>
      <c r="F35" s="45">
        <v>2</v>
      </c>
      <c r="G35" s="45">
        <v>2</v>
      </c>
      <c r="H35" s="45">
        <v>2</v>
      </c>
      <c r="I35" s="45">
        <v>2</v>
      </c>
      <c r="J35" s="45">
        <v>2</v>
      </c>
      <c r="K35" s="36"/>
      <c r="L35" s="36"/>
      <c r="M35" s="36"/>
      <c r="N35" s="36"/>
      <c r="O35" s="36"/>
      <c r="P35" s="36"/>
    </row>
    <row r="36" spans="1:16" x14ac:dyDescent="0.25">
      <c r="A36" s="41"/>
      <c r="B36" s="38" t="s">
        <v>87</v>
      </c>
      <c r="C36" s="45">
        <f t="shared" ref="C36:J36" si="14">C34/C35</f>
        <v>2750</v>
      </c>
      <c r="D36" s="45">
        <f t="shared" si="14"/>
        <v>2879</v>
      </c>
      <c r="E36" s="45">
        <f t="shared" si="14"/>
        <v>3063</v>
      </c>
      <c r="F36" s="45">
        <f t="shared" si="14"/>
        <v>3826.5</v>
      </c>
      <c r="G36" s="45">
        <f t="shared" si="14"/>
        <v>3826.5</v>
      </c>
      <c r="H36" s="45">
        <f t="shared" si="14"/>
        <v>4038.5</v>
      </c>
      <c r="I36" s="45">
        <f t="shared" si="14"/>
        <v>3597</v>
      </c>
      <c r="J36" s="45">
        <f t="shared" si="14"/>
        <v>4248.5</v>
      </c>
      <c r="K36" s="36"/>
      <c r="L36" s="36"/>
      <c r="M36" s="36"/>
      <c r="N36" s="36"/>
      <c r="O36" s="36"/>
      <c r="P36" s="36"/>
    </row>
    <row r="37" spans="1:16" x14ac:dyDescent="0.25">
      <c r="A37" s="41"/>
      <c r="B37" s="38" t="s">
        <v>86</v>
      </c>
      <c r="C37" s="48" t="s">
        <v>84</v>
      </c>
      <c r="D37" s="48" t="s">
        <v>84</v>
      </c>
      <c r="E37" s="48" t="s">
        <v>84</v>
      </c>
      <c r="F37" s="38">
        <v>400</v>
      </c>
      <c r="G37" s="38">
        <v>513</v>
      </c>
      <c r="H37" s="38">
        <v>699</v>
      </c>
      <c r="I37" s="38">
        <v>1060</v>
      </c>
      <c r="J37" s="38">
        <v>1121</v>
      </c>
      <c r="K37" s="36" t="s">
        <v>83</v>
      </c>
      <c r="L37" s="36"/>
      <c r="M37" s="36"/>
      <c r="N37" s="36"/>
      <c r="O37" s="36"/>
      <c r="P37" s="36"/>
    </row>
    <row r="38" spans="1:16" x14ac:dyDescent="0.25">
      <c r="A38" s="41"/>
      <c r="B38" s="38" t="s">
        <v>85</v>
      </c>
      <c r="C38" s="48" t="s">
        <v>84</v>
      </c>
      <c r="D38" s="48" t="s">
        <v>84</v>
      </c>
      <c r="E38" s="48" t="s">
        <v>84</v>
      </c>
      <c r="F38" s="38">
        <v>9640</v>
      </c>
      <c r="G38" s="38">
        <v>16139</v>
      </c>
      <c r="H38" s="38">
        <v>23337</v>
      </c>
      <c r="I38" s="38">
        <v>14220</v>
      </c>
      <c r="J38" s="38">
        <v>7676</v>
      </c>
      <c r="K38" s="36" t="s">
        <v>83</v>
      </c>
      <c r="L38" s="36"/>
      <c r="M38" s="36"/>
      <c r="N38" s="36"/>
      <c r="O38" s="36"/>
      <c r="P38" s="36"/>
    </row>
    <row r="39" spans="1:16" x14ac:dyDescent="0.25">
      <c r="A39" s="41"/>
      <c r="B39" s="38" t="s">
        <v>82</v>
      </c>
      <c r="C39" s="45">
        <f>C36/6</f>
        <v>458.33333333333331</v>
      </c>
      <c r="D39" s="45">
        <f>D36/6</f>
        <v>479.83333333333331</v>
      </c>
      <c r="E39" s="45">
        <f>E36/6</f>
        <v>510.5</v>
      </c>
      <c r="F39" s="44">
        <f>F38/6</f>
        <v>1606.6666666666667</v>
      </c>
      <c r="G39" s="44">
        <f>G38/6</f>
        <v>2689.8333333333335</v>
      </c>
      <c r="H39" s="44">
        <f>H38/6</f>
        <v>3889.5</v>
      </c>
      <c r="I39" s="44">
        <f>I38/6</f>
        <v>2370</v>
      </c>
      <c r="J39" s="44">
        <f>J38/6</f>
        <v>1279.3333333333333</v>
      </c>
      <c r="K39" s="36"/>
      <c r="L39" s="36"/>
      <c r="M39" s="36"/>
      <c r="N39" s="36"/>
      <c r="O39" s="36"/>
      <c r="P39" s="36"/>
    </row>
    <row r="40" spans="1:16" x14ac:dyDescent="0.25">
      <c r="A40" s="41"/>
      <c r="B40" s="41" t="s">
        <v>81</v>
      </c>
      <c r="C40" s="47">
        <f>C36+C39</f>
        <v>3208.3333333333335</v>
      </c>
      <c r="D40" s="47">
        <f>D36+D39</f>
        <v>3358.8333333333335</v>
      </c>
      <c r="E40" s="47">
        <f>E36+E39</f>
        <v>3573.5</v>
      </c>
      <c r="F40" s="46">
        <f>F36+F37+F39</f>
        <v>5833.166666666667</v>
      </c>
      <c r="G40" s="46">
        <f>G37+G36+G39</f>
        <v>7029.3333333333339</v>
      </c>
      <c r="H40" s="46">
        <f>H36+H37+H39</f>
        <v>8627</v>
      </c>
      <c r="I40" s="46">
        <f>I36+I37+I39</f>
        <v>7027</v>
      </c>
      <c r="J40" s="46">
        <f>J36+J37+J39</f>
        <v>6648.833333333333</v>
      </c>
      <c r="K40" s="36"/>
      <c r="L40" s="36"/>
      <c r="M40" s="36"/>
      <c r="N40" s="36"/>
      <c r="O40" s="36"/>
      <c r="P40" s="36"/>
    </row>
    <row r="41" spans="1:16" x14ac:dyDescent="0.25">
      <c r="A41" s="41"/>
      <c r="B41" s="38"/>
      <c r="C41" s="45"/>
      <c r="D41" s="44"/>
      <c r="E41" s="44"/>
      <c r="F41" s="44"/>
      <c r="G41" s="44"/>
      <c r="H41" s="44"/>
      <c r="I41" s="44"/>
      <c r="J41" s="44"/>
      <c r="K41" s="36"/>
      <c r="L41" s="36"/>
      <c r="M41" s="36"/>
      <c r="N41" s="36"/>
      <c r="O41" s="36"/>
      <c r="P41" s="36"/>
    </row>
    <row r="42" spans="1:16" x14ac:dyDescent="0.25">
      <c r="A42" s="41" t="s">
        <v>80</v>
      </c>
      <c r="B42" s="38" t="s">
        <v>79</v>
      </c>
      <c r="C42" s="43">
        <f t="shared" ref="C42:J42" si="15">C27+C32+C40</f>
        <v>4847413.888888889</v>
      </c>
      <c r="D42" s="43">
        <f t="shared" si="15"/>
        <v>5263178.8333333321</v>
      </c>
      <c r="E42" s="43">
        <f t="shared" si="15"/>
        <v>5494593.5</v>
      </c>
      <c r="F42" s="43">
        <f t="shared" si="15"/>
        <v>5586732.055555555</v>
      </c>
      <c r="G42" s="43">
        <f t="shared" si="15"/>
        <v>5863089.333333333</v>
      </c>
      <c r="H42" s="43">
        <f t="shared" si="15"/>
        <v>5978020.333333334</v>
      </c>
      <c r="I42" s="43">
        <f t="shared" si="15"/>
        <v>6059955.888888889</v>
      </c>
      <c r="J42" s="43">
        <f t="shared" si="15"/>
        <v>5997932.166666666</v>
      </c>
      <c r="K42" s="42"/>
      <c r="L42" s="42"/>
      <c r="M42" s="42"/>
      <c r="N42" s="42"/>
      <c r="O42" s="42"/>
      <c r="P42" s="42"/>
    </row>
    <row r="43" spans="1:16" x14ac:dyDescent="0.25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36"/>
      <c r="L43" s="36"/>
      <c r="M43" s="36"/>
      <c r="N43" s="36"/>
      <c r="O43" s="36"/>
      <c r="P43" s="36"/>
    </row>
    <row r="44" spans="1:16" x14ac:dyDescent="0.25">
      <c r="A44" s="41" t="s">
        <v>78</v>
      </c>
      <c r="B44" s="38"/>
      <c r="C44" s="40">
        <v>655</v>
      </c>
      <c r="D44" s="85">
        <v>700</v>
      </c>
      <c r="E44" s="85">
        <v>725</v>
      </c>
      <c r="F44" s="85">
        <v>750</v>
      </c>
      <c r="G44" s="85">
        <v>775</v>
      </c>
      <c r="H44" s="85">
        <v>800</v>
      </c>
      <c r="I44" s="40">
        <v>824</v>
      </c>
      <c r="J44" s="40">
        <v>855</v>
      </c>
      <c r="K44" s="36" t="s">
        <v>76</v>
      </c>
      <c r="L44" s="36"/>
      <c r="M44" s="36"/>
      <c r="N44" s="36"/>
      <c r="O44" s="36"/>
      <c r="P44" s="36"/>
    </row>
    <row r="45" spans="1:16" x14ac:dyDescent="0.25">
      <c r="A45" s="39"/>
      <c r="B45" s="38"/>
      <c r="C45" s="38"/>
      <c r="D45" s="38"/>
      <c r="E45" s="38"/>
      <c r="F45" s="38"/>
      <c r="G45" s="38"/>
      <c r="H45" s="38"/>
      <c r="I45" s="38"/>
      <c r="J45" s="38"/>
      <c r="K45" s="36"/>
      <c r="L45" s="36"/>
      <c r="M45" s="36"/>
      <c r="N45" s="36"/>
      <c r="O45" s="36"/>
      <c r="P45" s="36"/>
    </row>
    <row r="46" spans="1:16" x14ac:dyDescent="0.25">
      <c r="A46" s="39" t="s">
        <v>75</v>
      </c>
      <c r="B46" s="38"/>
      <c r="C46" s="37">
        <v>16000</v>
      </c>
      <c r="D46" s="37">
        <v>16000</v>
      </c>
      <c r="E46" s="37">
        <v>16000</v>
      </c>
      <c r="F46" s="37">
        <v>16000</v>
      </c>
      <c r="G46" s="37">
        <v>16000</v>
      </c>
      <c r="H46" s="37">
        <v>16000</v>
      </c>
      <c r="I46" s="37">
        <v>16000</v>
      </c>
      <c r="J46" s="37">
        <v>16000</v>
      </c>
      <c r="K46" s="36" t="s">
        <v>74</v>
      </c>
      <c r="L46" s="36"/>
      <c r="M46" s="36"/>
      <c r="N46" s="36"/>
      <c r="O46" s="36"/>
      <c r="P46" s="36"/>
    </row>
    <row r="48" spans="1:16" x14ac:dyDescent="0.25">
      <c r="A48" s="35" t="s">
        <v>73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X47"/>
  <sheetViews>
    <sheetView topLeftCell="C2" workbookViewId="0">
      <selection activeCell="E2" sqref="E2:M15"/>
    </sheetView>
  </sheetViews>
  <sheetFormatPr defaultRowHeight="15" x14ac:dyDescent="0.25"/>
  <cols>
    <col min="5" max="5" width="31.5703125" customWidth="1"/>
    <col min="9" max="10" width="10.85546875" customWidth="1"/>
    <col min="11" max="11" width="13.28515625" bestFit="1" customWidth="1"/>
    <col min="12" max="12" width="13.28515625" customWidth="1"/>
    <col min="13" max="13" width="13.28515625" bestFit="1" customWidth="1"/>
    <col min="263" max="263" width="31.5703125" customWidth="1"/>
    <col min="267" max="267" width="10.85546875" customWidth="1"/>
    <col min="268" max="269" width="13.28515625" bestFit="1" customWidth="1"/>
    <col min="519" max="519" width="31.5703125" customWidth="1"/>
    <col min="523" max="523" width="10.85546875" customWidth="1"/>
    <col min="524" max="525" width="13.28515625" bestFit="1" customWidth="1"/>
    <col min="775" max="775" width="31.5703125" customWidth="1"/>
    <col min="779" max="779" width="10.85546875" customWidth="1"/>
    <col min="780" max="781" width="13.28515625" bestFit="1" customWidth="1"/>
    <col min="1031" max="1031" width="31.5703125" customWidth="1"/>
    <col min="1035" max="1035" width="10.85546875" customWidth="1"/>
    <col min="1036" max="1037" width="13.28515625" bestFit="1" customWidth="1"/>
    <col min="1287" max="1287" width="31.5703125" customWidth="1"/>
    <col min="1291" max="1291" width="10.85546875" customWidth="1"/>
    <col min="1292" max="1293" width="13.28515625" bestFit="1" customWidth="1"/>
    <col min="1543" max="1543" width="31.5703125" customWidth="1"/>
    <col min="1547" max="1547" width="10.85546875" customWidth="1"/>
    <col min="1548" max="1549" width="13.28515625" bestFit="1" customWidth="1"/>
    <col min="1799" max="1799" width="31.5703125" customWidth="1"/>
    <col min="1803" max="1803" width="10.85546875" customWidth="1"/>
    <col min="1804" max="1805" width="13.28515625" bestFit="1" customWidth="1"/>
    <col min="2055" max="2055" width="31.5703125" customWidth="1"/>
    <col min="2059" max="2059" width="10.85546875" customWidth="1"/>
    <col min="2060" max="2061" width="13.28515625" bestFit="1" customWidth="1"/>
    <col min="2311" max="2311" width="31.5703125" customWidth="1"/>
    <col min="2315" max="2315" width="10.85546875" customWidth="1"/>
    <col min="2316" max="2317" width="13.28515625" bestFit="1" customWidth="1"/>
    <col min="2567" max="2567" width="31.5703125" customWidth="1"/>
    <col min="2571" max="2571" width="10.85546875" customWidth="1"/>
    <col min="2572" max="2573" width="13.28515625" bestFit="1" customWidth="1"/>
    <col min="2823" max="2823" width="31.5703125" customWidth="1"/>
    <col min="2827" max="2827" width="10.85546875" customWidth="1"/>
    <col min="2828" max="2829" width="13.28515625" bestFit="1" customWidth="1"/>
    <col min="3079" max="3079" width="31.5703125" customWidth="1"/>
    <col min="3083" max="3083" width="10.85546875" customWidth="1"/>
    <col min="3084" max="3085" width="13.28515625" bestFit="1" customWidth="1"/>
    <col min="3335" max="3335" width="31.5703125" customWidth="1"/>
    <col min="3339" max="3339" width="10.85546875" customWidth="1"/>
    <col min="3340" max="3341" width="13.28515625" bestFit="1" customWidth="1"/>
    <col min="3591" max="3591" width="31.5703125" customWidth="1"/>
    <col min="3595" max="3595" width="10.85546875" customWidth="1"/>
    <col min="3596" max="3597" width="13.28515625" bestFit="1" customWidth="1"/>
    <col min="3847" max="3847" width="31.5703125" customWidth="1"/>
    <col min="3851" max="3851" width="10.85546875" customWidth="1"/>
    <col min="3852" max="3853" width="13.28515625" bestFit="1" customWidth="1"/>
    <col min="4103" max="4103" width="31.5703125" customWidth="1"/>
    <col min="4107" max="4107" width="10.85546875" customWidth="1"/>
    <col min="4108" max="4109" width="13.28515625" bestFit="1" customWidth="1"/>
    <col min="4359" max="4359" width="31.5703125" customWidth="1"/>
    <col min="4363" max="4363" width="10.85546875" customWidth="1"/>
    <col min="4364" max="4365" width="13.28515625" bestFit="1" customWidth="1"/>
    <col min="4615" max="4615" width="31.5703125" customWidth="1"/>
    <col min="4619" max="4619" width="10.85546875" customWidth="1"/>
    <col min="4620" max="4621" width="13.28515625" bestFit="1" customWidth="1"/>
    <col min="4871" max="4871" width="31.5703125" customWidth="1"/>
    <col min="4875" max="4875" width="10.85546875" customWidth="1"/>
    <col min="4876" max="4877" width="13.28515625" bestFit="1" customWidth="1"/>
    <col min="5127" max="5127" width="31.5703125" customWidth="1"/>
    <col min="5131" max="5131" width="10.85546875" customWidth="1"/>
    <col min="5132" max="5133" width="13.28515625" bestFit="1" customWidth="1"/>
    <col min="5383" max="5383" width="31.5703125" customWidth="1"/>
    <col min="5387" max="5387" width="10.85546875" customWidth="1"/>
    <col min="5388" max="5389" width="13.28515625" bestFit="1" customWidth="1"/>
    <col min="5639" max="5639" width="31.5703125" customWidth="1"/>
    <col min="5643" max="5643" width="10.85546875" customWidth="1"/>
    <col min="5644" max="5645" width="13.28515625" bestFit="1" customWidth="1"/>
    <col min="5895" max="5895" width="31.5703125" customWidth="1"/>
    <col min="5899" max="5899" width="10.85546875" customWidth="1"/>
    <col min="5900" max="5901" width="13.28515625" bestFit="1" customWidth="1"/>
    <col min="6151" max="6151" width="31.5703125" customWidth="1"/>
    <col min="6155" max="6155" width="10.85546875" customWidth="1"/>
    <col min="6156" max="6157" width="13.28515625" bestFit="1" customWidth="1"/>
    <col min="6407" max="6407" width="31.5703125" customWidth="1"/>
    <col min="6411" max="6411" width="10.85546875" customWidth="1"/>
    <col min="6412" max="6413" width="13.28515625" bestFit="1" customWidth="1"/>
    <col min="6663" max="6663" width="31.5703125" customWidth="1"/>
    <col min="6667" max="6667" width="10.85546875" customWidth="1"/>
    <col min="6668" max="6669" width="13.28515625" bestFit="1" customWidth="1"/>
    <col min="6919" max="6919" width="31.5703125" customWidth="1"/>
    <col min="6923" max="6923" width="10.85546875" customWidth="1"/>
    <col min="6924" max="6925" width="13.28515625" bestFit="1" customWidth="1"/>
    <col min="7175" max="7175" width="31.5703125" customWidth="1"/>
    <col min="7179" max="7179" width="10.85546875" customWidth="1"/>
    <col min="7180" max="7181" width="13.28515625" bestFit="1" customWidth="1"/>
    <col min="7431" max="7431" width="31.5703125" customWidth="1"/>
    <col min="7435" max="7435" width="10.85546875" customWidth="1"/>
    <col min="7436" max="7437" width="13.28515625" bestFit="1" customWidth="1"/>
    <col min="7687" max="7687" width="31.5703125" customWidth="1"/>
    <col min="7691" max="7691" width="10.85546875" customWidth="1"/>
    <col min="7692" max="7693" width="13.28515625" bestFit="1" customWidth="1"/>
    <col min="7943" max="7943" width="31.5703125" customWidth="1"/>
    <col min="7947" max="7947" width="10.85546875" customWidth="1"/>
    <col min="7948" max="7949" width="13.28515625" bestFit="1" customWidth="1"/>
    <col min="8199" max="8199" width="31.5703125" customWidth="1"/>
    <col min="8203" max="8203" width="10.85546875" customWidth="1"/>
    <col min="8204" max="8205" width="13.28515625" bestFit="1" customWidth="1"/>
    <col min="8455" max="8455" width="31.5703125" customWidth="1"/>
    <col min="8459" max="8459" width="10.85546875" customWidth="1"/>
    <col min="8460" max="8461" width="13.28515625" bestFit="1" customWidth="1"/>
    <col min="8711" max="8711" width="31.5703125" customWidth="1"/>
    <col min="8715" max="8715" width="10.85546875" customWidth="1"/>
    <col min="8716" max="8717" width="13.28515625" bestFit="1" customWidth="1"/>
    <col min="8967" max="8967" width="31.5703125" customWidth="1"/>
    <col min="8971" max="8971" width="10.85546875" customWidth="1"/>
    <col min="8972" max="8973" width="13.28515625" bestFit="1" customWidth="1"/>
    <col min="9223" max="9223" width="31.5703125" customWidth="1"/>
    <col min="9227" max="9227" width="10.85546875" customWidth="1"/>
    <col min="9228" max="9229" width="13.28515625" bestFit="1" customWidth="1"/>
    <col min="9479" max="9479" width="31.5703125" customWidth="1"/>
    <col min="9483" max="9483" width="10.85546875" customWidth="1"/>
    <col min="9484" max="9485" width="13.28515625" bestFit="1" customWidth="1"/>
    <col min="9735" max="9735" width="31.5703125" customWidth="1"/>
    <col min="9739" max="9739" width="10.85546875" customWidth="1"/>
    <col min="9740" max="9741" width="13.28515625" bestFit="1" customWidth="1"/>
    <col min="9991" max="9991" width="31.5703125" customWidth="1"/>
    <col min="9995" max="9995" width="10.85546875" customWidth="1"/>
    <col min="9996" max="9997" width="13.28515625" bestFit="1" customWidth="1"/>
    <col min="10247" max="10247" width="31.5703125" customWidth="1"/>
    <col min="10251" max="10251" width="10.85546875" customWidth="1"/>
    <col min="10252" max="10253" width="13.28515625" bestFit="1" customWidth="1"/>
    <col min="10503" max="10503" width="31.5703125" customWidth="1"/>
    <col min="10507" max="10507" width="10.85546875" customWidth="1"/>
    <col min="10508" max="10509" width="13.28515625" bestFit="1" customWidth="1"/>
    <col min="10759" max="10759" width="31.5703125" customWidth="1"/>
    <col min="10763" max="10763" width="10.85546875" customWidth="1"/>
    <col min="10764" max="10765" width="13.28515625" bestFit="1" customWidth="1"/>
    <col min="11015" max="11015" width="31.5703125" customWidth="1"/>
    <col min="11019" max="11019" width="10.85546875" customWidth="1"/>
    <col min="11020" max="11021" width="13.28515625" bestFit="1" customWidth="1"/>
    <col min="11271" max="11271" width="31.5703125" customWidth="1"/>
    <col min="11275" max="11275" width="10.85546875" customWidth="1"/>
    <col min="11276" max="11277" width="13.28515625" bestFit="1" customWidth="1"/>
    <col min="11527" max="11527" width="31.5703125" customWidth="1"/>
    <col min="11531" max="11531" width="10.85546875" customWidth="1"/>
    <col min="11532" max="11533" width="13.28515625" bestFit="1" customWidth="1"/>
    <col min="11783" max="11783" width="31.5703125" customWidth="1"/>
    <col min="11787" max="11787" width="10.85546875" customWidth="1"/>
    <col min="11788" max="11789" width="13.28515625" bestFit="1" customWidth="1"/>
    <col min="12039" max="12039" width="31.5703125" customWidth="1"/>
    <col min="12043" max="12043" width="10.85546875" customWidth="1"/>
    <col min="12044" max="12045" width="13.28515625" bestFit="1" customWidth="1"/>
    <col min="12295" max="12295" width="31.5703125" customWidth="1"/>
    <col min="12299" max="12299" width="10.85546875" customWidth="1"/>
    <col min="12300" max="12301" width="13.28515625" bestFit="1" customWidth="1"/>
    <col min="12551" max="12551" width="31.5703125" customWidth="1"/>
    <col min="12555" max="12555" width="10.85546875" customWidth="1"/>
    <col min="12556" max="12557" width="13.28515625" bestFit="1" customWidth="1"/>
    <col min="12807" max="12807" width="31.5703125" customWidth="1"/>
    <col min="12811" max="12811" width="10.85546875" customWidth="1"/>
    <col min="12812" max="12813" width="13.28515625" bestFit="1" customWidth="1"/>
    <col min="13063" max="13063" width="31.5703125" customWidth="1"/>
    <col min="13067" max="13067" width="10.85546875" customWidth="1"/>
    <col min="13068" max="13069" width="13.28515625" bestFit="1" customWidth="1"/>
    <col min="13319" max="13319" width="31.5703125" customWidth="1"/>
    <col min="13323" max="13323" width="10.85546875" customWidth="1"/>
    <col min="13324" max="13325" width="13.28515625" bestFit="1" customWidth="1"/>
    <col min="13575" max="13575" width="31.5703125" customWidth="1"/>
    <col min="13579" max="13579" width="10.85546875" customWidth="1"/>
    <col min="13580" max="13581" width="13.28515625" bestFit="1" customWidth="1"/>
    <col min="13831" max="13831" width="31.5703125" customWidth="1"/>
    <col min="13835" max="13835" width="10.85546875" customWidth="1"/>
    <col min="13836" max="13837" width="13.28515625" bestFit="1" customWidth="1"/>
    <col min="14087" max="14087" width="31.5703125" customWidth="1"/>
    <col min="14091" max="14091" width="10.85546875" customWidth="1"/>
    <col min="14092" max="14093" width="13.28515625" bestFit="1" customWidth="1"/>
    <col min="14343" max="14343" width="31.5703125" customWidth="1"/>
    <col min="14347" max="14347" width="10.85546875" customWidth="1"/>
    <col min="14348" max="14349" width="13.28515625" bestFit="1" customWidth="1"/>
    <col min="14599" max="14599" width="31.5703125" customWidth="1"/>
    <col min="14603" max="14603" width="10.85546875" customWidth="1"/>
    <col min="14604" max="14605" width="13.28515625" bestFit="1" customWidth="1"/>
    <col min="14855" max="14855" width="31.5703125" customWidth="1"/>
    <col min="14859" max="14859" width="10.85546875" customWidth="1"/>
    <col min="14860" max="14861" width="13.28515625" bestFit="1" customWidth="1"/>
    <col min="15111" max="15111" width="31.5703125" customWidth="1"/>
    <col min="15115" max="15115" width="10.85546875" customWidth="1"/>
    <col min="15116" max="15117" width="13.28515625" bestFit="1" customWidth="1"/>
    <col min="15367" max="15367" width="31.5703125" customWidth="1"/>
    <col min="15371" max="15371" width="10.85546875" customWidth="1"/>
    <col min="15372" max="15373" width="13.28515625" bestFit="1" customWidth="1"/>
    <col min="15623" max="15623" width="31.5703125" customWidth="1"/>
    <col min="15627" max="15627" width="10.85546875" customWidth="1"/>
    <col min="15628" max="15629" width="13.28515625" bestFit="1" customWidth="1"/>
    <col min="15879" max="15879" width="31.5703125" customWidth="1"/>
    <col min="15883" max="15883" width="10.85546875" customWidth="1"/>
    <col min="15884" max="15885" width="13.28515625" bestFit="1" customWidth="1"/>
    <col min="16135" max="16135" width="31.5703125" customWidth="1"/>
    <col min="16139" max="16139" width="10.85546875" customWidth="1"/>
    <col min="16140" max="16141" width="13.28515625" bestFit="1" customWidth="1"/>
  </cols>
  <sheetData>
    <row r="1" spans="5:24" x14ac:dyDescent="0.25">
      <c r="N1" s="34" t="s">
        <v>348</v>
      </c>
    </row>
    <row r="2" spans="5:24" x14ac:dyDescent="0.25">
      <c r="E2" s="4" t="s">
        <v>331</v>
      </c>
      <c r="Q2">
        <v>2015</v>
      </c>
      <c r="R2">
        <v>2020</v>
      </c>
      <c r="S2">
        <v>2025</v>
      </c>
      <c r="T2">
        <v>2030</v>
      </c>
      <c r="U2">
        <v>2035</v>
      </c>
      <c r="V2">
        <v>2040</v>
      </c>
      <c r="W2">
        <v>2045</v>
      </c>
      <c r="X2">
        <v>2050</v>
      </c>
    </row>
    <row r="3" spans="5:24" x14ac:dyDescent="0.25">
      <c r="O3" t="s">
        <v>242</v>
      </c>
      <c r="Q3">
        <v>0.97</v>
      </c>
      <c r="R3">
        <v>0.9</v>
      </c>
      <c r="S3">
        <v>0.86</v>
      </c>
      <c r="T3">
        <v>0.83</v>
      </c>
      <c r="U3">
        <v>0.76</v>
      </c>
      <c r="V3">
        <v>0.7</v>
      </c>
      <c r="W3">
        <v>0.6</v>
      </c>
      <c r="X3">
        <v>0.49</v>
      </c>
    </row>
    <row r="4" spans="5:24" x14ac:dyDescent="0.25">
      <c r="E4" s="152" t="s">
        <v>332</v>
      </c>
      <c r="F4" s="148">
        <v>2015</v>
      </c>
      <c r="G4" s="148">
        <v>2020</v>
      </c>
      <c r="H4" s="148">
        <v>2025</v>
      </c>
      <c r="I4" s="148">
        <v>2030</v>
      </c>
      <c r="J4" s="148">
        <v>2035</v>
      </c>
      <c r="K4" s="148">
        <v>2040</v>
      </c>
      <c r="L4" s="148">
        <v>2045</v>
      </c>
      <c r="M4" s="148">
        <v>2050</v>
      </c>
      <c r="O4" t="s">
        <v>349</v>
      </c>
      <c r="Q4">
        <v>0.01</v>
      </c>
      <c r="R4">
        <v>0.03</v>
      </c>
      <c r="S4">
        <v>0.05</v>
      </c>
      <c r="T4">
        <v>7.0000000000000007E-2</v>
      </c>
      <c r="U4">
        <v>0.1</v>
      </c>
      <c r="V4">
        <v>0.13</v>
      </c>
      <c r="W4">
        <v>0.18</v>
      </c>
      <c r="X4">
        <v>0.24</v>
      </c>
    </row>
    <row r="5" spans="5:24" x14ac:dyDescent="0.25">
      <c r="E5" s="153" t="s">
        <v>333</v>
      </c>
      <c r="F5" s="154">
        <v>2900</v>
      </c>
      <c r="G5" s="155">
        <v>3000</v>
      </c>
      <c r="H5" s="154">
        <v>3200</v>
      </c>
      <c r="I5" s="154">
        <v>3400</v>
      </c>
      <c r="J5" s="154">
        <v>3700</v>
      </c>
      <c r="K5" s="55">
        <v>4000</v>
      </c>
      <c r="L5" s="55">
        <v>4250</v>
      </c>
      <c r="M5" s="55">
        <v>4500</v>
      </c>
      <c r="O5" t="s">
        <v>374</v>
      </c>
      <c r="Q5">
        <v>0</v>
      </c>
      <c r="R5">
        <v>0.05</v>
      </c>
      <c r="S5">
        <v>7.0000000000000007E-2</v>
      </c>
      <c r="T5">
        <v>0.08</v>
      </c>
      <c r="U5">
        <v>0.12</v>
      </c>
      <c r="V5">
        <v>0.15</v>
      </c>
      <c r="W5">
        <v>0.2</v>
      </c>
      <c r="X5">
        <v>0.25</v>
      </c>
    </row>
    <row r="6" spans="5:24" x14ac:dyDescent="0.25">
      <c r="E6" s="153" t="s">
        <v>334</v>
      </c>
      <c r="F6" s="154">
        <v>6100</v>
      </c>
      <c r="G6" s="155">
        <v>6300</v>
      </c>
      <c r="H6" s="154">
        <v>6720</v>
      </c>
      <c r="I6" s="154">
        <v>7140</v>
      </c>
      <c r="J6" s="154">
        <v>7570</v>
      </c>
      <c r="K6" s="55">
        <v>8000</v>
      </c>
      <c r="L6" s="55">
        <v>8500</v>
      </c>
      <c r="M6" s="55">
        <v>9000</v>
      </c>
      <c r="O6" t="s">
        <v>350</v>
      </c>
      <c r="Q6">
        <v>0.02</v>
      </c>
      <c r="R6">
        <v>0.02</v>
      </c>
      <c r="S6">
        <v>0.02</v>
      </c>
      <c r="T6">
        <v>0.02</v>
      </c>
      <c r="U6">
        <v>0.02</v>
      </c>
      <c r="V6">
        <v>0.02</v>
      </c>
      <c r="W6">
        <v>0.02</v>
      </c>
      <c r="X6">
        <v>0.02</v>
      </c>
    </row>
    <row r="7" spans="5:24" x14ac:dyDescent="0.25">
      <c r="E7" s="153" t="s">
        <v>335</v>
      </c>
      <c r="F7" s="154">
        <v>2000</v>
      </c>
      <c r="G7" s="155">
        <v>2100</v>
      </c>
      <c r="H7" s="154">
        <v>2200</v>
      </c>
      <c r="I7" s="154">
        <v>2300</v>
      </c>
      <c r="J7" s="154">
        <v>2650</v>
      </c>
      <c r="K7" s="55">
        <v>3000</v>
      </c>
      <c r="L7" s="55">
        <v>3250</v>
      </c>
      <c r="M7" s="55">
        <v>3500</v>
      </c>
      <c r="O7" t="s">
        <v>356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</row>
    <row r="8" spans="5:24" x14ac:dyDescent="0.25">
      <c r="E8" s="153" t="s">
        <v>116</v>
      </c>
      <c r="F8" s="154">
        <v>26000</v>
      </c>
      <c r="G8" s="156">
        <v>26700</v>
      </c>
      <c r="H8" s="157">
        <v>28000</v>
      </c>
      <c r="I8" s="157">
        <v>30000</v>
      </c>
      <c r="J8" s="157">
        <v>32500</v>
      </c>
      <c r="K8" s="55">
        <v>35000</v>
      </c>
      <c r="L8" s="55">
        <v>37500</v>
      </c>
      <c r="M8" s="55">
        <v>40000</v>
      </c>
    </row>
    <row r="9" spans="5:24" x14ac:dyDescent="0.25">
      <c r="E9" s="153" t="s">
        <v>214</v>
      </c>
      <c r="F9" s="154">
        <v>2600</v>
      </c>
      <c r="G9" s="154">
        <v>3000</v>
      </c>
      <c r="H9" s="154">
        <v>3500</v>
      </c>
      <c r="I9" s="154">
        <v>4000</v>
      </c>
      <c r="J9" s="154">
        <v>5000</v>
      </c>
      <c r="K9" s="55">
        <v>6000</v>
      </c>
      <c r="L9" s="55">
        <v>7000</v>
      </c>
      <c r="M9" s="55">
        <v>8000</v>
      </c>
      <c r="N9" s="34" t="s">
        <v>379</v>
      </c>
      <c r="Q9">
        <v>2015</v>
      </c>
      <c r="R9">
        <v>2020</v>
      </c>
      <c r="S9">
        <v>2025</v>
      </c>
      <c r="T9">
        <v>2030</v>
      </c>
      <c r="U9">
        <v>2035</v>
      </c>
      <c r="V9">
        <v>2040</v>
      </c>
      <c r="W9">
        <v>2045</v>
      </c>
      <c r="X9">
        <v>2050</v>
      </c>
    </row>
    <row r="10" spans="5:24" x14ac:dyDescent="0.25">
      <c r="E10" s="158" t="s">
        <v>336</v>
      </c>
      <c r="F10" s="159">
        <v>5300000</v>
      </c>
      <c r="G10" s="159">
        <v>5500000</v>
      </c>
      <c r="H10" s="159">
        <v>5700000</v>
      </c>
      <c r="I10" s="159">
        <v>5800000</v>
      </c>
      <c r="J10" s="159">
        <v>5950000</v>
      </c>
      <c r="K10" s="149">
        <v>6100000</v>
      </c>
      <c r="L10" s="149">
        <v>6300000</v>
      </c>
      <c r="M10" s="149">
        <v>6500000</v>
      </c>
      <c r="O10" t="s">
        <v>242</v>
      </c>
      <c r="Q10">
        <v>0.5</v>
      </c>
      <c r="R10">
        <v>0.4</v>
      </c>
      <c r="S10">
        <v>0.4</v>
      </c>
      <c r="T10">
        <v>0.4</v>
      </c>
      <c r="U10">
        <v>0.2</v>
      </c>
    </row>
    <row r="11" spans="5:24" x14ac:dyDescent="0.25">
      <c r="E11" s="158" t="s">
        <v>337</v>
      </c>
      <c r="F11" s="159">
        <v>650000</v>
      </c>
      <c r="G11" s="160">
        <v>675000</v>
      </c>
      <c r="H11" s="160">
        <v>685000</v>
      </c>
      <c r="I11" s="160">
        <v>690000</v>
      </c>
      <c r="J11" s="160">
        <v>710000</v>
      </c>
      <c r="K11" s="150">
        <v>725000</v>
      </c>
      <c r="L11" s="150">
        <v>737500</v>
      </c>
      <c r="M11" s="150">
        <v>750000</v>
      </c>
      <c r="O11" t="s">
        <v>349</v>
      </c>
      <c r="Q11">
        <v>0.25</v>
      </c>
      <c r="R11">
        <v>0.3</v>
      </c>
      <c r="S11">
        <v>0.3</v>
      </c>
      <c r="T11">
        <v>0.3</v>
      </c>
      <c r="U11">
        <v>0.35</v>
      </c>
      <c r="V11">
        <v>0.4</v>
      </c>
      <c r="W11">
        <v>0.32</v>
      </c>
      <c r="X11">
        <v>0.25</v>
      </c>
    </row>
    <row r="12" spans="5:24" x14ac:dyDescent="0.25">
      <c r="E12" s="158" t="s">
        <v>90</v>
      </c>
      <c r="F12" s="161">
        <v>6000</v>
      </c>
      <c r="G12" s="161">
        <v>7000</v>
      </c>
      <c r="H12" s="161">
        <v>8000</v>
      </c>
      <c r="I12" s="161">
        <v>9000</v>
      </c>
      <c r="J12" s="159">
        <v>10500</v>
      </c>
      <c r="K12" s="150">
        <v>12000</v>
      </c>
      <c r="L12" s="150">
        <v>12500</v>
      </c>
      <c r="M12" s="150">
        <v>13000</v>
      </c>
      <c r="O12" t="s">
        <v>374</v>
      </c>
      <c r="Q12">
        <v>0.25</v>
      </c>
      <c r="R12">
        <v>0.3</v>
      </c>
      <c r="S12">
        <v>0.3</v>
      </c>
      <c r="T12">
        <v>0.3</v>
      </c>
      <c r="U12">
        <v>0.45</v>
      </c>
      <c r="V12">
        <v>0.6</v>
      </c>
      <c r="W12">
        <v>0.68</v>
      </c>
      <c r="X12">
        <v>0.75</v>
      </c>
    </row>
    <row r="13" spans="5:24" x14ac:dyDescent="0.25">
      <c r="E13" s="162" t="s">
        <v>373</v>
      </c>
      <c r="F13" s="159">
        <f>F11+F12</f>
        <v>656000</v>
      </c>
      <c r="G13" s="159">
        <f t="shared" ref="G13:M13" si="0">G11+G12</f>
        <v>682000</v>
      </c>
      <c r="H13" s="159">
        <f t="shared" si="0"/>
        <v>693000</v>
      </c>
      <c r="I13" s="159">
        <f t="shared" si="0"/>
        <v>699000</v>
      </c>
      <c r="J13" s="159">
        <f t="shared" si="0"/>
        <v>720500</v>
      </c>
      <c r="K13" s="159">
        <f t="shared" si="0"/>
        <v>737000</v>
      </c>
      <c r="L13" s="159">
        <f t="shared" si="0"/>
        <v>750000</v>
      </c>
      <c r="M13" s="159">
        <f t="shared" si="0"/>
        <v>763000</v>
      </c>
      <c r="Q13">
        <f>SUM(Q10:Q12)</f>
        <v>1</v>
      </c>
      <c r="R13">
        <f t="shared" ref="R13:X13" si="1">SUM(R10:R12)</f>
        <v>1</v>
      </c>
      <c r="S13">
        <f t="shared" si="1"/>
        <v>1</v>
      </c>
      <c r="T13">
        <f t="shared" si="1"/>
        <v>1</v>
      </c>
      <c r="U13">
        <f t="shared" si="1"/>
        <v>1</v>
      </c>
      <c r="V13">
        <f t="shared" si="1"/>
        <v>1</v>
      </c>
      <c r="W13">
        <f t="shared" si="1"/>
        <v>1</v>
      </c>
      <c r="X13">
        <f t="shared" si="1"/>
        <v>1</v>
      </c>
    </row>
    <row r="14" spans="5:24" x14ac:dyDescent="0.25">
      <c r="E14" s="153" t="s">
        <v>106</v>
      </c>
      <c r="F14" s="154">
        <v>21000</v>
      </c>
      <c r="G14" s="154">
        <v>22000</v>
      </c>
      <c r="H14" s="154">
        <v>23000</v>
      </c>
      <c r="I14" s="154">
        <v>24000</v>
      </c>
      <c r="J14" s="154">
        <v>27000</v>
      </c>
      <c r="K14" s="55">
        <v>30000</v>
      </c>
      <c r="L14" s="55">
        <v>32500</v>
      </c>
      <c r="M14" s="55">
        <v>35000</v>
      </c>
    </row>
    <row r="15" spans="5:24" x14ac:dyDescent="0.25">
      <c r="E15" s="153" t="s">
        <v>338</v>
      </c>
      <c r="F15" s="154">
        <v>16000</v>
      </c>
      <c r="G15" s="154">
        <v>17000</v>
      </c>
      <c r="H15" s="154">
        <v>17500</v>
      </c>
      <c r="I15" s="154">
        <v>18000</v>
      </c>
      <c r="J15" s="154">
        <v>19000</v>
      </c>
      <c r="K15" s="55">
        <v>20000</v>
      </c>
      <c r="L15" s="55">
        <v>21000</v>
      </c>
      <c r="M15" s="55">
        <v>22000</v>
      </c>
      <c r="O15" s="146">
        <v>2015</v>
      </c>
      <c r="P15" s="146">
        <v>2020</v>
      </c>
      <c r="Q15" s="146">
        <v>2025</v>
      </c>
      <c r="R15" s="146">
        <v>2030</v>
      </c>
      <c r="S15" s="146">
        <v>2035</v>
      </c>
      <c r="T15" s="146">
        <v>2040</v>
      </c>
      <c r="U15" s="146">
        <v>2045</v>
      </c>
      <c r="V15" s="146">
        <v>2050</v>
      </c>
    </row>
    <row r="16" spans="5:24" x14ac:dyDescent="0.25">
      <c r="E16" s="171" t="s">
        <v>375</v>
      </c>
      <c r="F16" s="172"/>
      <c r="G16" s="172"/>
      <c r="H16" s="172"/>
      <c r="I16" s="172"/>
      <c r="J16" s="170"/>
      <c r="K16" s="56"/>
      <c r="L16" s="56"/>
      <c r="M16" s="56"/>
      <c r="O16" s="173" t="s">
        <v>376</v>
      </c>
      <c r="P16" s="173"/>
      <c r="Q16" s="173"/>
      <c r="R16" s="173"/>
      <c r="S16" s="173"/>
      <c r="T16" s="173"/>
      <c r="U16" s="173"/>
      <c r="V16" s="173"/>
      <c r="W16" s="173"/>
    </row>
    <row r="17" spans="5:23" x14ac:dyDescent="0.25">
      <c r="E17" t="s">
        <v>352</v>
      </c>
      <c r="F17" s="170">
        <f>((F5*Q3*$Q$34)+(F5*Q4*$Q$35))*$U$26*$V$26*365*$P$30*$P$31*0.000001*0.001</f>
        <v>0.71645649145714263</v>
      </c>
      <c r="G17" s="170">
        <f>((G5*R3*$Q$34)+(G5*R4*$Q$35))*$U$26*$V$26*365*$P$30*$P$31*0.000001*0.001</f>
        <v>0.71870243657142852</v>
      </c>
      <c r="H17" s="170">
        <f t="shared" ref="H17:L17" si="2">((H5*S3*$Q$34)+(H5*S4*$Q$35))*$U$26*$V$26*365*$P$30*$P$31*0.000001*0.001</f>
        <v>0.7666159323428573</v>
      </c>
      <c r="I17" s="170">
        <f t="shared" si="2"/>
        <v>0.82301410965714261</v>
      </c>
      <c r="J17" s="170">
        <f t="shared" si="2"/>
        <v>0.88639967177142864</v>
      </c>
      <c r="K17" s="170">
        <f t="shared" si="2"/>
        <v>0.95826991542857121</v>
      </c>
      <c r="L17" s="170">
        <f t="shared" si="2"/>
        <v>1.018161785142857</v>
      </c>
      <c r="M17" s="170">
        <f>((M5*X3*$Q$34)+(M5*X4*$Q$35))*$U$26*$V$26*365*$P$30*$P$31*0.000001*0.001</f>
        <v>1.0892833804285718</v>
      </c>
      <c r="O17" s="174">
        <f>((F5*$Q$3*$Q$34)+(F5*$Q$4*$Q$35))*$U$26*$V$26*365*$P$30*$P$31*0.000001*0.001</f>
        <v>0.71645649145714263</v>
      </c>
      <c r="P17" s="174">
        <f t="shared" ref="P17:V17" si="3">((G5*$Q$3*$Q$34)+(G5*$Q$4*$Q$35))*$U$26*$V$26*365*$P$30*$P$31*0.000001*0.001</f>
        <v>0.74116188771428582</v>
      </c>
      <c r="Q17" s="174">
        <f t="shared" si="3"/>
        <v>0.79057268022857141</v>
      </c>
      <c r="R17" s="174">
        <f t="shared" si="3"/>
        <v>0.83998347274285723</v>
      </c>
      <c r="S17" s="174">
        <f t="shared" si="3"/>
        <v>0.91409966151428568</v>
      </c>
      <c r="T17" s="174">
        <f t="shared" si="3"/>
        <v>0.98821585028571424</v>
      </c>
      <c r="U17" s="174">
        <f t="shared" si="3"/>
        <v>1.0499793409285714</v>
      </c>
      <c r="V17" s="174">
        <f t="shared" si="3"/>
        <v>1.1117428315714286</v>
      </c>
      <c r="W17" s="174"/>
    </row>
    <row r="18" spans="5:23" x14ac:dyDescent="0.25">
      <c r="E18" s="169" t="s">
        <v>357</v>
      </c>
      <c r="F18" s="170">
        <f>((F6*Q3*$Q$34)+(F6*Q4*$Q$35))*$U$28*$V$26*365*$P$30*$P$31*0.000001*0.001</f>
        <v>0.75351458584285724</v>
      </c>
      <c r="G18" s="170">
        <f t="shared" ref="G18:M18" si="4">((G6*R3*$Q$34)+(G6*R4*$Q$35))*$U$28*$V$26*365*$P$30*$P$31*0.000001*0.001</f>
        <v>0.75463755840000002</v>
      </c>
      <c r="H18" s="170">
        <f t="shared" si="4"/>
        <v>0.80494672895999986</v>
      </c>
      <c r="I18" s="170">
        <f t="shared" si="4"/>
        <v>0.8641648151400001</v>
      </c>
      <c r="J18" s="170">
        <f t="shared" si="4"/>
        <v>0.90676290747428578</v>
      </c>
      <c r="K18" s="170">
        <f t="shared" si="4"/>
        <v>0.95826991542857121</v>
      </c>
      <c r="L18" s="170">
        <f>((L6*W3*$Q$34)+(L6*W4*$Q$35))*$U$28*$V$26*365*$P$30*$P$31*0.000001*0.001</f>
        <v>1.018161785142857</v>
      </c>
      <c r="M18" s="170">
        <f t="shared" si="4"/>
        <v>1.0892833804285718</v>
      </c>
      <c r="O18" s="174">
        <f>((F6*$Q$3*$Q$34)+(F6*$Q$4*$Q$35))*$U$28*$V$26*365*$P$30*$P$31*0.000001*0.001</f>
        <v>0.75351458584285724</v>
      </c>
      <c r="P18" s="174">
        <f t="shared" ref="P18:V18" si="5">((G6*$Q$3*$Q$34)+(G6*$Q$4*$Q$35))*$U$28*$V$26*365*$P$30*$P$31*0.000001*0.001</f>
        <v>0.7782199821000001</v>
      </c>
      <c r="Q18" s="174">
        <f t="shared" si="5"/>
        <v>0.83010131423999978</v>
      </c>
      <c r="R18" s="174">
        <f t="shared" si="5"/>
        <v>0.88198264638000012</v>
      </c>
      <c r="S18" s="174">
        <f t="shared" si="5"/>
        <v>0.93509924833285707</v>
      </c>
      <c r="T18" s="174">
        <f t="shared" si="5"/>
        <v>0.98821585028571424</v>
      </c>
      <c r="U18" s="174">
        <f t="shared" si="5"/>
        <v>1.0499793409285714</v>
      </c>
      <c r="V18" s="174">
        <f t="shared" si="5"/>
        <v>1.1117428315714286</v>
      </c>
    </row>
    <row r="19" spans="5:23" x14ac:dyDescent="0.25">
      <c r="E19" t="s">
        <v>358</v>
      </c>
      <c r="F19" s="170">
        <f>F7*Q7*$Q$37*$U$27*$V$26*365*$P$30*$P$31*0.000001*0.001</f>
        <v>2.495494571428571</v>
      </c>
      <c r="G19" s="170">
        <f t="shared" ref="G19:M19" si="6">G7*R7*$Q$37*$U$27*$V$26*365*$P$30*$P$31*0.000001*0.001</f>
        <v>2.6202692999999999</v>
      </c>
      <c r="H19" s="170">
        <f t="shared" si="6"/>
        <v>2.7450440285714279</v>
      </c>
      <c r="I19" s="170">
        <f t="shared" si="6"/>
        <v>2.8698187571428573</v>
      </c>
      <c r="J19" s="170">
        <f t="shared" si="6"/>
        <v>3.3065303071428573</v>
      </c>
      <c r="K19" s="170">
        <f t="shared" si="6"/>
        <v>3.743241857142857</v>
      </c>
      <c r="L19" s="170">
        <f t="shared" si="6"/>
        <v>4.0551786785714281</v>
      </c>
      <c r="M19" s="170">
        <f t="shared" si="6"/>
        <v>4.3671154999999997</v>
      </c>
      <c r="O19" s="174">
        <f>F7*$Q$7*$Q$37*$U$27*$V$26*365*$P$30*$P$31*0.000001*0.001</f>
        <v>2.495494571428571</v>
      </c>
      <c r="P19" s="174">
        <f t="shared" ref="P19:V19" si="7">G7*$Q$7*$Q$37*$U$27*$V$26*365*$P$30*$P$31*0.000001*0.001</f>
        <v>2.6202692999999999</v>
      </c>
      <c r="Q19" s="174">
        <f t="shared" si="7"/>
        <v>2.7450440285714279</v>
      </c>
      <c r="R19" s="174">
        <f t="shared" si="7"/>
        <v>2.8698187571428573</v>
      </c>
      <c r="S19" s="174">
        <f t="shared" si="7"/>
        <v>3.3065303071428573</v>
      </c>
      <c r="T19" s="174">
        <f t="shared" si="7"/>
        <v>3.743241857142857</v>
      </c>
      <c r="U19" s="174">
        <f t="shared" si="7"/>
        <v>4.0551786785714281</v>
      </c>
      <c r="V19" s="174">
        <f t="shared" si="7"/>
        <v>4.3671154999999997</v>
      </c>
    </row>
    <row r="20" spans="5:23" x14ac:dyDescent="0.25">
      <c r="E20" t="s">
        <v>359</v>
      </c>
      <c r="F20" s="170">
        <f>F18+F19</f>
        <v>3.2490091572714284</v>
      </c>
      <c r="G20" s="170">
        <f t="shared" ref="G20:M20" si="8">G18+G19</f>
        <v>3.3749068584000002</v>
      </c>
      <c r="H20" s="170">
        <f t="shared" si="8"/>
        <v>3.549990757531428</v>
      </c>
      <c r="I20" s="170">
        <f t="shared" si="8"/>
        <v>3.7339835722828574</v>
      </c>
      <c r="J20" s="170">
        <f t="shared" si="8"/>
        <v>4.2132932146171429</v>
      </c>
      <c r="K20" s="170">
        <f t="shared" si="8"/>
        <v>4.7015117725714282</v>
      </c>
      <c r="L20" s="170">
        <f t="shared" si="8"/>
        <v>5.0733404637142847</v>
      </c>
      <c r="M20" s="170">
        <f t="shared" si="8"/>
        <v>5.456398880428571</v>
      </c>
      <c r="O20" s="174">
        <f>O18+O19</f>
        <v>3.2490091572714284</v>
      </c>
      <c r="P20" s="174">
        <f t="shared" ref="P20:V20" si="9">P18+P19</f>
        <v>3.3984892820999999</v>
      </c>
      <c r="Q20" s="174">
        <f t="shared" si="9"/>
        <v>3.5751453428114277</v>
      </c>
      <c r="R20" s="174">
        <f t="shared" si="9"/>
        <v>3.7518014035228573</v>
      </c>
      <c r="S20" s="174">
        <f t="shared" si="9"/>
        <v>4.2416295554757149</v>
      </c>
      <c r="T20" s="174">
        <f t="shared" si="9"/>
        <v>4.7314577074285715</v>
      </c>
      <c r="U20" s="174">
        <f t="shared" si="9"/>
        <v>5.1051580194999993</v>
      </c>
      <c r="V20" s="174">
        <f t="shared" si="9"/>
        <v>5.4788583315714288</v>
      </c>
    </row>
    <row r="21" spans="5:23" x14ac:dyDescent="0.25">
      <c r="F21" s="170"/>
      <c r="G21" s="170"/>
      <c r="H21" s="170"/>
      <c r="I21" s="170"/>
      <c r="J21" s="170"/>
      <c r="K21" s="56"/>
      <c r="L21" s="56"/>
      <c r="M21" s="56"/>
    </row>
    <row r="22" spans="5:23" x14ac:dyDescent="0.25">
      <c r="E22" t="s">
        <v>360</v>
      </c>
      <c r="F22" s="170">
        <f>((F23*$Q$35)+(F24*$Q$34))*$P$30*$P$31/1000000</f>
        <v>1.738037189625</v>
      </c>
      <c r="G22" s="170">
        <f t="shared" ref="G22:M22" si="10">((G23*$Q$35)+(G24*$Q$34))*$P$30*$P$31/1000000</f>
        <v>1.8208008653214287</v>
      </c>
      <c r="H22" s="170">
        <f t="shared" si="10"/>
        <v>1.9035645410178572</v>
      </c>
      <c r="I22" s="170">
        <f t="shared" si="10"/>
        <v>1.9863282167142859</v>
      </c>
      <c r="J22" s="170">
        <f t="shared" si="10"/>
        <v>2.0111573194232149</v>
      </c>
      <c r="K22" s="170">
        <f t="shared" si="10"/>
        <v>1.9863282167142859</v>
      </c>
      <c r="L22" s="170">
        <f t="shared" si="10"/>
        <v>1.7214844544857144</v>
      </c>
      <c r="M22" s="170">
        <f t="shared" si="10"/>
        <v>1.4483643246875002</v>
      </c>
      <c r="O22" s="174">
        <f>((O23*$Q$35)+(O24*$Q$34))*$P$30*$P$31/1000000</f>
        <v>1.738037189625</v>
      </c>
      <c r="P22" s="174">
        <f t="shared" ref="P22:V22" si="11">((P23*$Q$35)+(P24*$Q$34))*$P$30*$P$31/1000000</f>
        <v>1.8208008653214287</v>
      </c>
      <c r="Q22" s="174">
        <f t="shared" si="11"/>
        <v>1.9035645410178572</v>
      </c>
      <c r="R22" s="174">
        <f t="shared" si="11"/>
        <v>1.9863282167142859</v>
      </c>
      <c r="S22" s="174">
        <f t="shared" si="11"/>
        <v>2.2346192438035715</v>
      </c>
      <c r="T22" s="174">
        <f t="shared" si="11"/>
        <v>2.4829102708928574</v>
      </c>
      <c r="U22" s="174">
        <f t="shared" si="11"/>
        <v>2.6898194601339291</v>
      </c>
      <c r="V22" s="174">
        <f t="shared" si="11"/>
        <v>2.8967286493750004</v>
      </c>
    </row>
    <row r="23" spans="5:23" x14ac:dyDescent="0.25">
      <c r="E23" s="95" t="s">
        <v>349</v>
      </c>
      <c r="F23">
        <f>F14*(($T$34*$U$34*$V$34)+($T$35*$U$35*$V$35)+($T$36*$U$36*$V$36)+($T$37*$U$37*$V$37))*Q11*365/1000</f>
        <v>185574.44062500002</v>
      </c>
      <c r="G23">
        <f t="shared" ref="G23:M23" si="12">G14*(($T$34*$U$34*$V$34)+($T$35*$U$35*$V$35)+($T$36*$U$36*$V$36)+($T$37*$U$37*$V$37))*R11*365/1000</f>
        <v>233293.58250000002</v>
      </c>
      <c r="H23">
        <f t="shared" si="12"/>
        <v>243897.83625000002</v>
      </c>
      <c r="I23">
        <f t="shared" si="12"/>
        <v>254502.09000000003</v>
      </c>
      <c r="J23">
        <f t="shared" si="12"/>
        <v>334033.99312500004</v>
      </c>
      <c r="K23">
        <f t="shared" si="12"/>
        <v>424170.15000000008</v>
      </c>
      <c r="L23">
        <f t="shared" si="12"/>
        <v>367614.13000000006</v>
      </c>
      <c r="M23">
        <f t="shared" si="12"/>
        <v>309290.73437500006</v>
      </c>
      <c r="O23">
        <f>F14*(($T$34*$U$34*$V$34)+($T$35*$U$35*$V$35)+($T$36*$U$36*$V$36)+($T$37*$U$37*$V$37))*$Q$11*365/1000</f>
        <v>185574.44062500002</v>
      </c>
      <c r="P23">
        <f t="shared" ref="P23:V23" si="13">G14*(($T$34*$U$34*$V$34)+($T$35*$U$35*$V$35)+($T$36*$U$36*$V$36)+($T$37*$U$37*$V$37))*$Q$11*365/1000</f>
        <v>194411.31875000003</v>
      </c>
      <c r="Q23">
        <f t="shared" si="13"/>
        <v>203248.19687500002</v>
      </c>
      <c r="R23">
        <f t="shared" si="13"/>
        <v>212085.07500000004</v>
      </c>
      <c r="S23">
        <f t="shared" si="13"/>
        <v>238595.70937500003</v>
      </c>
      <c r="T23">
        <f t="shared" si="13"/>
        <v>265106.34375000006</v>
      </c>
      <c r="U23">
        <f t="shared" si="13"/>
        <v>287198.53906250006</v>
      </c>
      <c r="V23">
        <f t="shared" si="13"/>
        <v>309290.73437500006</v>
      </c>
    </row>
    <row r="24" spans="5:23" x14ac:dyDescent="0.25">
      <c r="E24" s="95" t="s">
        <v>242</v>
      </c>
      <c r="F24">
        <f>F14*(($T$34*$U$34*$V$34)+($T$35*$U$35*$V$35)+($T$36*$U$36*$V$36)+($T$37*$U$37*$V$37))*Q10*365/1000</f>
        <v>371148.88125000003</v>
      </c>
      <c r="G24">
        <f t="shared" ref="G24:M24" si="14">G14*(($T$34*$U$34*$V$34)+($T$35*$U$35*$V$35)+($T$36*$U$36*$V$36)+($T$37*$U$37*$V$37))*R10*365/1000</f>
        <v>311058.11000000004</v>
      </c>
      <c r="H24">
        <f t="shared" si="14"/>
        <v>325197.11500000005</v>
      </c>
      <c r="I24">
        <f t="shared" si="14"/>
        <v>339336.12000000005</v>
      </c>
      <c r="J24">
        <f t="shared" si="14"/>
        <v>190876.56750000003</v>
      </c>
      <c r="K24">
        <f t="shared" si="14"/>
        <v>0</v>
      </c>
      <c r="L24">
        <f t="shared" si="14"/>
        <v>0</v>
      </c>
      <c r="M24">
        <f t="shared" si="14"/>
        <v>0</v>
      </c>
      <c r="O24">
        <f>F14*(($T$34*$U$34*$V$34)+($T$35*$U$35*$V$35)+($T$36*$U$36*$V$36)+($T$37*$U$37*$V$37))*$Q$10*365/1000</f>
        <v>371148.88125000003</v>
      </c>
      <c r="P24">
        <f t="shared" ref="P24:V24" si="15">G14*(($T$34*$U$34*$V$34)+($T$35*$U$35*$V$35)+($T$36*$U$36*$V$36)+($T$37*$U$37*$V$37))*$Q$10*365/1000</f>
        <v>388822.63750000007</v>
      </c>
      <c r="Q24">
        <f t="shared" si="15"/>
        <v>406496.39375000005</v>
      </c>
      <c r="R24">
        <f t="shared" si="15"/>
        <v>424170.15000000008</v>
      </c>
      <c r="S24">
        <f t="shared" si="15"/>
        <v>477191.41875000007</v>
      </c>
      <c r="T24">
        <f t="shared" si="15"/>
        <v>530212.68750000012</v>
      </c>
      <c r="U24">
        <f t="shared" si="15"/>
        <v>574397.07812500012</v>
      </c>
      <c r="V24">
        <f t="shared" si="15"/>
        <v>618581.46875000012</v>
      </c>
    </row>
    <row r="25" spans="5:23" x14ac:dyDescent="0.25">
      <c r="E25" s="4" t="s">
        <v>339</v>
      </c>
      <c r="O25" s="34" t="s">
        <v>348</v>
      </c>
      <c r="U25" t="s">
        <v>226</v>
      </c>
      <c r="V25" t="s">
        <v>227</v>
      </c>
    </row>
    <row r="26" spans="5:23" x14ac:dyDescent="0.25">
      <c r="E26" s="152" t="s">
        <v>332</v>
      </c>
      <c r="F26" s="148">
        <v>2015</v>
      </c>
      <c r="G26" s="148">
        <v>2020</v>
      </c>
      <c r="H26" s="148">
        <v>2025</v>
      </c>
      <c r="I26" s="148">
        <v>2030</v>
      </c>
      <c r="J26" s="148">
        <v>2035</v>
      </c>
      <c r="K26" s="148">
        <v>2040</v>
      </c>
      <c r="L26" s="148">
        <v>2045</v>
      </c>
      <c r="M26" s="148">
        <v>2050</v>
      </c>
      <c r="O26" t="s">
        <v>242</v>
      </c>
      <c r="Q26">
        <v>0.97</v>
      </c>
      <c r="T26" t="s">
        <v>353</v>
      </c>
      <c r="U26">
        <v>400</v>
      </c>
      <c r="V26">
        <v>0.73</v>
      </c>
    </row>
    <row r="27" spans="5:23" x14ac:dyDescent="0.25">
      <c r="E27" s="153" t="s">
        <v>333</v>
      </c>
      <c r="F27" s="154">
        <v>2900</v>
      </c>
      <c r="G27" s="155">
        <v>2700</v>
      </c>
      <c r="H27" s="154">
        <v>2500</v>
      </c>
      <c r="I27" s="154">
        <v>2400</v>
      </c>
      <c r="J27" s="154">
        <v>2400</v>
      </c>
      <c r="K27" s="55">
        <v>2400</v>
      </c>
      <c r="L27" s="55">
        <v>2425</v>
      </c>
      <c r="M27" s="55">
        <v>2450</v>
      </c>
      <c r="O27" t="s">
        <v>349</v>
      </c>
      <c r="Q27">
        <v>0.01</v>
      </c>
      <c r="T27" t="s">
        <v>354</v>
      </c>
      <c r="U27">
        <v>500</v>
      </c>
    </row>
    <row r="28" spans="5:23" x14ac:dyDescent="0.25">
      <c r="E28" s="164" t="s">
        <v>334</v>
      </c>
      <c r="F28" s="154">
        <v>6100</v>
      </c>
      <c r="G28" s="163">
        <v>5800</v>
      </c>
      <c r="H28" s="154">
        <v>5600</v>
      </c>
      <c r="I28" s="154">
        <v>5500</v>
      </c>
      <c r="J28" s="154">
        <v>5500</v>
      </c>
      <c r="K28" s="61">
        <v>5500</v>
      </c>
      <c r="L28" s="61">
        <v>5515</v>
      </c>
      <c r="M28" s="61">
        <v>5530</v>
      </c>
      <c r="O28" t="s">
        <v>350</v>
      </c>
      <c r="Q28">
        <v>0.02</v>
      </c>
      <c r="T28" t="s">
        <v>355</v>
      </c>
      <c r="U28">
        <v>200</v>
      </c>
    </row>
    <row r="29" spans="5:23" x14ac:dyDescent="0.25">
      <c r="E29" s="164" t="s">
        <v>335</v>
      </c>
      <c r="F29" s="154">
        <v>2000</v>
      </c>
      <c r="G29" s="163">
        <v>2100</v>
      </c>
      <c r="H29" s="154">
        <v>2200</v>
      </c>
      <c r="I29" s="154">
        <v>2300</v>
      </c>
      <c r="J29" s="154">
        <v>2650</v>
      </c>
      <c r="K29" s="61">
        <v>3000</v>
      </c>
      <c r="L29" s="61">
        <v>3250</v>
      </c>
      <c r="M29" s="61">
        <v>3500</v>
      </c>
      <c r="O29" t="s">
        <v>356</v>
      </c>
      <c r="Q29">
        <v>1</v>
      </c>
      <c r="T29" t="s">
        <v>246</v>
      </c>
      <c r="U29">
        <v>150</v>
      </c>
    </row>
    <row r="30" spans="5:23" x14ac:dyDescent="0.25">
      <c r="E30" s="153" t="s">
        <v>116</v>
      </c>
      <c r="F30" s="154">
        <v>26000</v>
      </c>
      <c r="G30" s="156">
        <v>25500</v>
      </c>
      <c r="H30" s="157">
        <v>25500</v>
      </c>
      <c r="I30" s="157">
        <v>25000</v>
      </c>
      <c r="J30" s="157">
        <v>25000</v>
      </c>
      <c r="K30" s="55">
        <v>25000</v>
      </c>
      <c r="L30" s="55">
        <v>24900</v>
      </c>
      <c r="M30" s="55">
        <v>24800</v>
      </c>
      <c r="O30" t="s">
        <v>20</v>
      </c>
      <c r="P30">
        <v>298</v>
      </c>
      <c r="T30" t="s">
        <v>245</v>
      </c>
      <c r="U30">
        <v>75</v>
      </c>
    </row>
    <row r="31" spans="5:23" x14ac:dyDescent="0.25">
      <c r="E31" s="153" t="s">
        <v>214</v>
      </c>
      <c r="F31" s="154">
        <v>2600</v>
      </c>
      <c r="G31" s="154">
        <v>2700</v>
      </c>
      <c r="H31" s="154">
        <v>2700</v>
      </c>
      <c r="I31" s="154">
        <v>2800</v>
      </c>
      <c r="J31" s="154">
        <v>2900</v>
      </c>
      <c r="K31" s="55">
        <v>3000</v>
      </c>
      <c r="L31" s="55">
        <v>3000</v>
      </c>
      <c r="M31" s="55">
        <v>3000</v>
      </c>
      <c r="P31">
        <f>44/28</f>
        <v>1.5714285714285714</v>
      </c>
    </row>
    <row r="32" spans="5:23" x14ac:dyDescent="0.25">
      <c r="E32" s="158" t="s">
        <v>336</v>
      </c>
      <c r="F32" s="159">
        <v>5300000</v>
      </c>
      <c r="G32" s="159">
        <v>5500000</v>
      </c>
      <c r="H32" s="159">
        <v>5700000</v>
      </c>
      <c r="I32" s="159">
        <v>5800000</v>
      </c>
      <c r="J32" s="159">
        <v>5950000</v>
      </c>
      <c r="K32" s="149">
        <v>6100000</v>
      </c>
      <c r="L32" s="149">
        <v>6300000</v>
      </c>
      <c r="M32" s="149">
        <v>6500000</v>
      </c>
      <c r="S32" s="4" t="s">
        <v>362</v>
      </c>
      <c r="T32" s="165"/>
      <c r="U32" s="166" t="s">
        <v>367</v>
      </c>
    </row>
    <row r="33" spans="5:22" x14ac:dyDescent="0.25">
      <c r="E33" s="158" t="s">
        <v>337</v>
      </c>
      <c r="F33" s="159">
        <v>650000</v>
      </c>
      <c r="G33" s="160">
        <v>675000</v>
      </c>
      <c r="H33" s="160">
        <v>685000</v>
      </c>
      <c r="I33" s="160">
        <v>690000</v>
      </c>
      <c r="J33" s="160">
        <v>710000</v>
      </c>
      <c r="K33" s="150">
        <v>725000</v>
      </c>
      <c r="L33" s="150">
        <v>737500</v>
      </c>
      <c r="M33" s="150">
        <v>750000</v>
      </c>
      <c r="O33" s="34" t="s">
        <v>351</v>
      </c>
      <c r="P33" s="34"/>
      <c r="Q33" s="34"/>
      <c r="S33" s="28"/>
      <c r="T33" s="167" t="s">
        <v>368</v>
      </c>
      <c r="U33" s="146" t="s">
        <v>226</v>
      </c>
      <c r="V33" s="146" t="s">
        <v>227</v>
      </c>
    </row>
    <row r="34" spans="5:22" x14ac:dyDescent="0.25">
      <c r="E34" s="158" t="s">
        <v>90</v>
      </c>
      <c r="F34" s="161">
        <v>6000</v>
      </c>
      <c r="G34" s="161">
        <v>7000</v>
      </c>
      <c r="H34" s="161">
        <v>8000</v>
      </c>
      <c r="I34" s="161">
        <v>9000</v>
      </c>
      <c r="J34" s="159">
        <v>10500</v>
      </c>
      <c r="K34" s="150">
        <v>12000</v>
      </c>
      <c r="L34" s="150">
        <v>12500</v>
      </c>
      <c r="M34" s="150">
        <v>13000</v>
      </c>
      <c r="O34" t="s">
        <v>242</v>
      </c>
      <c r="Q34">
        <v>5.0000000000000001E-3</v>
      </c>
      <c r="S34" t="s">
        <v>363</v>
      </c>
      <c r="T34" s="168">
        <v>0.02</v>
      </c>
      <c r="U34" s="146">
        <v>150</v>
      </c>
      <c r="V34" s="146">
        <v>0.55000000000000004</v>
      </c>
    </row>
    <row r="35" spans="5:22" x14ac:dyDescent="0.25">
      <c r="E35" s="162" t="s">
        <v>347</v>
      </c>
      <c r="F35" s="159">
        <f>F33+F34</f>
        <v>656000</v>
      </c>
      <c r="G35" s="159">
        <f t="shared" ref="G35:M35" si="16">G33+G34</f>
        <v>682000</v>
      </c>
      <c r="H35" s="159">
        <f t="shared" si="16"/>
        <v>693000</v>
      </c>
      <c r="I35" s="159">
        <f t="shared" si="16"/>
        <v>699000</v>
      </c>
      <c r="J35" s="159">
        <f t="shared" si="16"/>
        <v>720500</v>
      </c>
      <c r="K35" s="159">
        <f t="shared" si="16"/>
        <v>737000</v>
      </c>
      <c r="L35" s="159">
        <f t="shared" si="16"/>
        <v>750000</v>
      </c>
      <c r="M35" s="159">
        <f t="shared" si="16"/>
        <v>763000</v>
      </c>
      <c r="O35" t="s">
        <v>349</v>
      </c>
      <c r="Q35">
        <v>0.01</v>
      </c>
      <c r="S35" t="s">
        <v>364</v>
      </c>
      <c r="T35" s="168">
        <v>0.18</v>
      </c>
      <c r="U35" s="146">
        <v>125</v>
      </c>
      <c r="V35" s="146">
        <v>0.55000000000000004</v>
      </c>
    </row>
    <row r="36" spans="5:22" x14ac:dyDescent="0.25">
      <c r="E36" s="153" t="s">
        <v>106</v>
      </c>
      <c r="F36" s="154">
        <v>21000</v>
      </c>
      <c r="G36" s="154">
        <v>22000</v>
      </c>
      <c r="H36" s="154">
        <v>22000</v>
      </c>
      <c r="I36" s="154">
        <v>22500</v>
      </c>
      <c r="J36" s="154">
        <v>22750</v>
      </c>
      <c r="K36" s="55">
        <v>23000</v>
      </c>
      <c r="L36" s="55">
        <v>23000</v>
      </c>
      <c r="M36" s="55">
        <v>23000</v>
      </c>
      <c r="O36" t="s">
        <v>350</v>
      </c>
      <c r="Q36">
        <v>0</v>
      </c>
      <c r="S36" t="s">
        <v>365</v>
      </c>
      <c r="T36" s="168">
        <v>0.25</v>
      </c>
      <c r="U36" s="146">
        <v>13</v>
      </c>
      <c r="V36" s="146">
        <v>1.57</v>
      </c>
    </row>
    <row r="37" spans="5:22" x14ac:dyDescent="0.25">
      <c r="E37" s="153" t="s">
        <v>338</v>
      </c>
      <c r="F37" s="154">
        <v>16000</v>
      </c>
      <c r="G37" s="154">
        <v>15000</v>
      </c>
      <c r="H37" s="154">
        <v>15000</v>
      </c>
      <c r="I37" s="154">
        <v>15250</v>
      </c>
      <c r="J37" s="154">
        <v>15350</v>
      </c>
      <c r="K37" s="55">
        <v>15500</v>
      </c>
      <c r="L37" s="55">
        <v>15750</v>
      </c>
      <c r="M37" s="55">
        <v>16000</v>
      </c>
      <c r="O37" t="s">
        <v>243</v>
      </c>
      <c r="Q37">
        <v>0.02</v>
      </c>
      <c r="S37" t="s">
        <v>366</v>
      </c>
      <c r="T37" s="168">
        <v>0.55000000000000004</v>
      </c>
      <c r="U37" s="146">
        <v>90</v>
      </c>
      <c r="V37" s="146">
        <v>1.57</v>
      </c>
    </row>
    <row r="38" spans="5:22" x14ac:dyDescent="0.25">
      <c r="O38" t="s">
        <v>361</v>
      </c>
      <c r="Q38">
        <v>0</v>
      </c>
      <c r="T38" s="168">
        <f>SUM(T34:T37)</f>
        <v>1</v>
      </c>
      <c r="U38" s="146"/>
      <c r="V38" s="146"/>
    </row>
    <row r="39" spans="5:22" x14ac:dyDescent="0.25">
      <c r="E39" t="s">
        <v>352</v>
      </c>
      <c r="F39">
        <f>((F27*$Q$26*$Q$34)+(F27*$Q$27*$Q$35))*$U$26*$V$26*365*$P$30*$P$31*0.000001*0.001</f>
        <v>0.71645649145714263</v>
      </c>
      <c r="G39">
        <f t="shared" ref="G39:M39" si="17">((G27*$Q$26*$Q$34)+(G27*$Q$27*$Q$35))*$U$26*$V$26*365*$P$30*$P$31*0.000001*0.001</f>
        <v>0.66704569894285703</v>
      </c>
      <c r="H39">
        <f t="shared" si="17"/>
        <v>0.61763490642857144</v>
      </c>
      <c r="I39">
        <f t="shared" si="17"/>
        <v>0.59292951017142859</v>
      </c>
      <c r="J39">
        <f t="shared" si="17"/>
        <v>0.59292951017142859</v>
      </c>
      <c r="K39">
        <f t="shared" si="17"/>
        <v>0.59292951017142859</v>
      </c>
      <c r="L39">
        <f t="shared" si="17"/>
        <v>0.59910585923571424</v>
      </c>
      <c r="M39">
        <f t="shared" si="17"/>
        <v>0.60528220830000001</v>
      </c>
    </row>
    <row r="40" spans="5:22" x14ac:dyDescent="0.25">
      <c r="E40" t="s">
        <v>357</v>
      </c>
      <c r="F40">
        <f>((F28*$Q$26*$Q$34)+(F28*$Q$27*$Q$35))*$U$28*$V$26*365*$P$30*$P$31*0.000001*0.001</f>
        <v>0.75351458584285724</v>
      </c>
      <c r="G40">
        <f t="shared" ref="G40:M40" si="18">((G28*$Q$26*$Q$34)+(G28*$Q$27*$Q$35))*$U$28*$V$26*365*$P$30*$P$31*0.000001*0.001</f>
        <v>0.71645649145714263</v>
      </c>
      <c r="H40">
        <f t="shared" si="18"/>
        <v>0.6917510952</v>
      </c>
      <c r="I40">
        <f t="shared" si="18"/>
        <v>0.67939839707142846</v>
      </c>
      <c r="J40">
        <f t="shared" si="18"/>
        <v>0.67939839707142846</v>
      </c>
      <c r="K40">
        <f t="shared" si="18"/>
        <v>0.67939839707142846</v>
      </c>
      <c r="L40">
        <f t="shared" si="18"/>
        <v>0.68125130179071425</v>
      </c>
      <c r="M40">
        <f t="shared" si="18"/>
        <v>0.68310420650999992</v>
      </c>
      <c r="O40" s="28"/>
      <c r="P40" s="88"/>
      <c r="S40" t="s">
        <v>369</v>
      </c>
      <c r="U40" s="146">
        <v>0.25</v>
      </c>
      <c r="V40" s="166" t="s">
        <v>370</v>
      </c>
    </row>
    <row r="41" spans="5:22" x14ac:dyDescent="0.25">
      <c r="E41" t="s">
        <v>358</v>
      </c>
      <c r="F41">
        <f>F29*$Q$29*$Q$37*$U$27*$V$26*365*$P$30*$P$31*0.000001*0.001</f>
        <v>2.495494571428571</v>
      </c>
      <c r="G41">
        <f t="shared" ref="G41:M41" si="19">G29*$Q$29*$Q$37*$U$27*$V$26*365*$P$30*$P$31*0.000001*0.001</f>
        <v>2.6202692999999999</v>
      </c>
      <c r="H41">
        <f t="shared" si="19"/>
        <v>2.7450440285714279</v>
      </c>
      <c r="I41">
        <f t="shared" si="19"/>
        <v>2.8698187571428573</v>
      </c>
      <c r="J41">
        <f t="shared" si="19"/>
        <v>3.3065303071428573</v>
      </c>
      <c r="K41">
        <f t="shared" si="19"/>
        <v>3.743241857142857</v>
      </c>
      <c r="L41">
        <f t="shared" si="19"/>
        <v>4.0551786785714281</v>
      </c>
      <c r="M41">
        <f t="shared" si="19"/>
        <v>4.3671154999999997</v>
      </c>
      <c r="S41" t="s">
        <v>349</v>
      </c>
      <c r="U41" s="146">
        <v>0.25</v>
      </c>
    </row>
    <row r="42" spans="5:22" x14ac:dyDescent="0.25">
      <c r="E42" t="s">
        <v>359</v>
      </c>
      <c r="F42">
        <f>F40+F41</f>
        <v>3.2490091572714284</v>
      </c>
      <c r="G42">
        <f t="shared" ref="G42:M42" si="20">G40+G41</f>
        <v>3.3367257914571424</v>
      </c>
      <c r="H42">
        <f t="shared" si="20"/>
        <v>3.4367951237714278</v>
      </c>
      <c r="I42">
        <f t="shared" si="20"/>
        <v>3.5492171542142859</v>
      </c>
      <c r="J42">
        <f t="shared" si="20"/>
        <v>3.9859287042142859</v>
      </c>
      <c r="K42">
        <f t="shared" si="20"/>
        <v>4.4226402542142855</v>
      </c>
      <c r="L42">
        <f t="shared" si="20"/>
        <v>4.7364299803621428</v>
      </c>
      <c r="M42">
        <f t="shared" si="20"/>
        <v>5.0502197065099992</v>
      </c>
      <c r="S42" t="s">
        <v>242</v>
      </c>
      <c r="U42" s="146">
        <v>0.5</v>
      </c>
    </row>
    <row r="44" spans="5:22" x14ac:dyDescent="0.25">
      <c r="E44" t="s">
        <v>360</v>
      </c>
      <c r="F44">
        <f>((F45*$Q$35)+(F46*$Q$34))*$P$30*$P$31/1000000</f>
        <v>1.738037189625</v>
      </c>
      <c r="G44">
        <f t="shared" ref="G44:L44" si="21">((G45*$Q$35)+(G46*$Q$34))*$P$30*$P$31/1000000</f>
        <v>1.8208008653214287</v>
      </c>
      <c r="H44">
        <f t="shared" si="21"/>
        <v>1.8208008653214287</v>
      </c>
      <c r="I44">
        <f t="shared" si="21"/>
        <v>1.8621827031696434</v>
      </c>
      <c r="J44">
        <f t="shared" si="21"/>
        <v>1.8828736220937503</v>
      </c>
      <c r="K44">
        <f t="shared" si="21"/>
        <v>1.9035645410178572</v>
      </c>
      <c r="L44">
        <f t="shared" si="21"/>
        <v>1.9035645410178572</v>
      </c>
      <c r="M44">
        <f>((M45*$Q$35)+(M46*$Q$34))*$P$30*$P$31/1000000</f>
        <v>1.9035645410178572</v>
      </c>
    </row>
    <row r="45" spans="5:22" x14ac:dyDescent="0.25">
      <c r="E45" s="95" t="s">
        <v>349</v>
      </c>
      <c r="F45">
        <f>F36*(($T$34*$U$34*$V$34)+($T$35*$U$35*$V$35)+($T$36*$U$36*$V$36)+($T$37*$U$37*$V$37))*$U$41*365/1000</f>
        <v>185574.44062500002</v>
      </c>
      <c r="G45">
        <f t="shared" ref="G45:M45" si="22">G36*(($T$34*$U$34*$V$34)+($T$35*$U$35*$V$35)+($T$36*$U$36*$V$36)+($T$37*$U$37*$V$37))*$U$41*365/1000</f>
        <v>194411.31875000003</v>
      </c>
      <c r="H45">
        <f t="shared" si="22"/>
        <v>194411.31875000003</v>
      </c>
      <c r="I45">
        <f t="shared" si="22"/>
        <v>198829.75781250003</v>
      </c>
      <c r="J45">
        <f t="shared" si="22"/>
        <v>201038.97734375004</v>
      </c>
      <c r="K45">
        <f t="shared" si="22"/>
        <v>203248.19687500002</v>
      </c>
      <c r="L45">
        <f t="shared" si="22"/>
        <v>203248.19687500002</v>
      </c>
      <c r="M45">
        <f t="shared" si="22"/>
        <v>203248.19687500002</v>
      </c>
    </row>
    <row r="46" spans="5:22" x14ac:dyDescent="0.25">
      <c r="E46" s="95" t="s">
        <v>242</v>
      </c>
      <c r="F46">
        <f>F36*(($T$34*$U$34*$V$34)+($T$35*$U$35*$V$35)+($T$36*$U$36*$V$36)+($T$37*$U$37*$V$37))*$U$42*365/1000</f>
        <v>371148.88125000003</v>
      </c>
      <c r="G46">
        <f t="shared" ref="G46:M46" si="23">G36*(($T$34*$U$34*$V$34)+($T$35*$U$35*$V$35)+($T$36*$U$36*$V$36)+($T$37*$U$37*$V$37))*$U$42*365/1000</f>
        <v>388822.63750000007</v>
      </c>
      <c r="H46">
        <f t="shared" si="23"/>
        <v>388822.63750000007</v>
      </c>
      <c r="I46">
        <f t="shared" si="23"/>
        <v>397659.51562500006</v>
      </c>
      <c r="J46">
        <f t="shared" si="23"/>
        <v>402077.95468750008</v>
      </c>
      <c r="K46">
        <f t="shared" si="23"/>
        <v>406496.39375000005</v>
      </c>
      <c r="L46">
        <f t="shared" si="23"/>
        <v>406496.39375000005</v>
      </c>
      <c r="M46">
        <f t="shared" si="23"/>
        <v>406496.39375000005</v>
      </c>
    </row>
    <row r="47" spans="5:22" x14ac:dyDescent="0.25">
      <c r="E47" s="95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68"/>
  <sheetViews>
    <sheetView topLeftCell="A22" workbookViewId="0">
      <selection activeCell="E11" sqref="E11"/>
    </sheetView>
  </sheetViews>
  <sheetFormatPr defaultRowHeight="15" x14ac:dyDescent="0.25"/>
  <cols>
    <col min="3" max="3" width="21.28515625" customWidth="1"/>
    <col min="4" max="4" width="26.140625" customWidth="1"/>
    <col min="6" max="7" width="13.5703125" customWidth="1"/>
    <col min="259" max="259" width="21.28515625" customWidth="1"/>
    <col min="260" max="260" width="26.140625" customWidth="1"/>
    <col min="262" max="263" width="13.5703125" customWidth="1"/>
    <col min="515" max="515" width="21.28515625" customWidth="1"/>
    <col min="516" max="516" width="26.140625" customWidth="1"/>
    <col min="518" max="519" width="13.5703125" customWidth="1"/>
    <col min="771" max="771" width="21.28515625" customWidth="1"/>
    <col min="772" max="772" width="26.140625" customWidth="1"/>
    <col min="774" max="775" width="13.5703125" customWidth="1"/>
    <col min="1027" max="1027" width="21.28515625" customWidth="1"/>
    <col min="1028" max="1028" width="26.140625" customWidth="1"/>
    <col min="1030" max="1031" width="13.5703125" customWidth="1"/>
    <col min="1283" max="1283" width="21.28515625" customWidth="1"/>
    <col min="1284" max="1284" width="26.140625" customWidth="1"/>
    <col min="1286" max="1287" width="13.5703125" customWidth="1"/>
    <col min="1539" max="1539" width="21.28515625" customWidth="1"/>
    <col min="1540" max="1540" width="26.140625" customWidth="1"/>
    <col min="1542" max="1543" width="13.5703125" customWidth="1"/>
    <col min="1795" max="1795" width="21.28515625" customWidth="1"/>
    <col min="1796" max="1796" width="26.140625" customWidth="1"/>
    <col min="1798" max="1799" width="13.5703125" customWidth="1"/>
    <col min="2051" max="2051" width="21.28515625" customWidth="1"/>
    <col min="2052" max="2052" width="26.140625" customWidth="1"/>
    <col min="2054" max="2055" width="13.5703125" customWidth="1"/>
    <col min="2307" max="2307" width="21.28515625" customWidth="1"/>
    <col min="2308" max="2308" width="26.140625" customWidth="1"/>
    <col min="2310" max="2311" width="13.5703125" customWidth="1"/>
    <col min="2563" max="2563" width="21.28515625" customWidth="1"/>
    <col min="2564" max="2564" width="26.140625" customWidth="1"/>
    <col min="2566" max="2567" width="13.5703125" customWidth="1"/>
    <col min="2819" max="2819" width="21.28515625" customWidth="1"/>
    <col min="2820" max="2820" width="26.140625" customWidth="1"/>
    <col min="2822" max="2823" width="13.5703125" customWidth="1"/>
    <col min="3075" max="3075" width="21.28515625" customWidth="1"/>
    <col min="3076" max="3076" width="26.140625" customWidth="1"/>
    <col min="3078" max="3079" width="13.5703125" customWidth="1"/>
    <col min="3331" max="3331" width="21.28515625" customWidth="1"/>
    <col min="3332" max="3332" width="26.140625" customWidth="1"/>
    <col min="3334" max="3335" width="13.5703125" customWidth="1"/>
    <col min="3587" max="3587" width="21.28515625" customWidth="1"/>
    <col min="3588" max="3588" width="26.140625" customWidth="1"/>
    <col min="3590" max="3591" width="13.5703125" customWidth="1"/>
    <col min="3843" max="3843" width="21.28515625" customWidth="1"/>
    <col min="3844" max="3844" width="26.140625" customWidth="1"/>
    <col min="3846" max="3847" width="13.5703125" customWidth="1"/>
    <col min="4099" max="4099" width="21.28515625" customWidth="1"/>
    <col min="4100" max="4100" width="26.140625" customWidth="1"/>
    <col min="4102" max="4103" width="13.5703125" customWidth="1"/>
    <col min="4355" max="4355" width="21.28515625" customWidth="1"/>
    <col min="4356" max="4356" width="26.140625" customWidth="1"/>
    <col min="4358" max="4359" width="13.5703125" customWidth="1"/>
    <col min="4611" max="4611" width="21.28515625" customWidth="1"/>
    <col min="4612" max="4612" width="26.140625" customWidth="1"/>
    <col min="4614" max="4615" width="13.5703125" customWidth="1"/>
    <col min="4867" max="4867" width="21.28515625" customWidth="1"/>
    <col min="4868" max="4868" width="26.140625" customWidth="1"/>
    <col min="4870" max="4871" width="13.5703125" customWidth="1"/>
    <col min="5123" max="5123" width="21.28515625" customWidth="1"/>
    <col min="5124" max="5124" width="26.140625" customWidth="1"/>
    <col min="5126" max="5127" width="13.5703125" customWidth="1"/>
    <col min="5379" max="5379" width="21.28515625" customWidth="1"/>
    <col min="5380" max="5380" width="26.140625" customWidth="1"/>
    <col min="5382" max="5383" width="13.5703125" customWidth="1"/>
    <col min="5635" max="5635" width="21.28515625" customWidth="1"/>
    <col min="5636" max="5636" width="26.140625" customWidth="1"/>
    <col min="5638" max="5639" width="13.5703125" customWidth="1"/>
    <col min="5891" max="5891" width="21.28515625" customWidth="1"/>
    <col min="5892" max="5892" width="26.140625" customWidth="1"/>
    <col min="5894" max="5895" width="13.5703125" customWidth="1"/>
    <col min="6147" max="6147" width="21.28515625" customWidth="1"/>
    <col min="6148" max="6148" width="26.140625" customWidth="1"/>
    <col min="6150" max="6151" width="13.5703125" customWidth="1"/>
    <col min="6403" max="6403" width="21.28515625" customWidth="1"/>
    <col min="6404" max="6404" width="26.140625" customWidth="1"/>
    <col min="6406" max="6407" width="13.5703125" customWidth="1"/>
    <col min="6659" max="6659" width="21.28515625" customWidth="1"/>
    <col min="6660" max="6660" width="26.140625" customWidth="1"/>
    <col min="6662" max="6663" width="13.5703125" customWidth="1"/>
    <col min="6915" max="6915" width="21.28515625" customWidth="1"/>
    <col min="6916" max="6916" width="26.140625" customWidth="1"/>
    <col min="6918" max="6919" width="13.5703125" customWidth="1"/>
    <col min="7171" max="7171" width="21.28515625" customWidth="1"/>
    <col min="7172" max="7172" width="26.140625" customWidth="1"/>
    <col min="7174" max="7175" width="13.5703125" customWidth="1"/>
    <col min="7427" max="7427" width="21.28515625" customWidth="1"/>
    <col min="7428" max="7428" width="26.140625" customWidth="1"/>
    <col min="7430" max="7431" width="13.5703125" customWidth="1"/>
    <col min="7683" max="7683" width="21.28515625" customWidth="1"/>
    <col min="7684" max="7684" width="26.140625" customWidth="1"/>
    <col min="7686" max="7687" width="13.5703125" customWidth="1"/>
    <col min="7939" max="7939" width="21.28515625" customWidth="1"/>
    <col min="7940" max="7940" width="26.140625" customWidth="1"/>
    <col min="7942" max="7943" width="13.5703125" customWidth="1"/>
    <col min="8195" max="8195" width="21.28515625" customWidth="1"/>
    <col min="8196" max="8196" width="26.140625" customWidth="1"/>
    <col min="8198" max="8199" width="13.5703125" customWidth="1"/>
    <col min="8451" max="8451" width="21.28515625" customWidth="1"/>
    <col min="8452" max="8452" width="26.140625" customWidth="1"/>
    <col min="8454" max="8455" width="13.5703125" customWidth="1"/>
    <col min="8707" max="8707" width="21.28515625" customWidth="1"/>
    <col min="8708" max="8708" width="26.140625" customWidth="1"/>
    <col min="8710" max="8711" width="13.5703125" customWidth="1"/>
    <col min="8963" max="8963" width="21.28515625" customWidth="1"/>
    <col min="8964" max="8964" width="26.140625" customWidth="1"/>
    <col min="8966" max="8967" width="13.5703125" customWidth="1"/>
    <col min="9219" max="9219" width="21.28515625" customWidth="1"/>
    <col min="9220" max="9220" width="26.140625" customWidth="1"/>
    <col min="9222" max="9223" width="13.5703125" customWidth="1"/>
    <col min="9475" max="9475" width="21.28515625" customWidth="1"/>
    <col min="9476" max="9476" width="26.140625" customWidth="1"/>
    <col min="9478" max="9479" width="13.5703125" customWidth="1"/>
    <col min="9731" max="9731" width="21.28515625" customWidth="1"/>
    <col min="9732" max="9732" width="26.140625" customWidth="1"/>
    <col min="9734" max="9735" width="13.5703125" customWidth="1"/>
    <col min="9987" max="9987" width="21.28515625" customWidth="1"/>
    <col min="9988" max="9988" width="26.140625" customWidth="1"/>
    <col min="9990" max="9991" width="13.5703125" customWidth="1"/>
    <col min="10243" max="10243" width="21.28515625" customWidth="1"/>
    <col min="10244" max="10244" width="26.140625" customWidth="1"/>
    <col min="10246" max="10247" width="13.5703125" customWidth="1"/>
    <col min="10499" max="10499" width="21.28515625" customWidth="1"/>
    <col min="10500" max="10500" width="26.140625" customWidth="1"/>
    <col min="10502" max="10503" width="13.5703125" customWidth="1"/>
    <col min="10755" max="10755" width="21.28515625" customWidth="1"/>
    <col min="10756" max="10756" width="26.140625" customWidth="1"/>
    <col min="10758" max="10759" width="13.5703125" customWidth="1"/>
    <col min="11011" max="11011" width="21.28515625" customWidth="1"/>
    <col min="11012" max="11012" width="26.140625" customWidth="1"/>
    <col min="11014" max="11015" width="13.5703125" customWidth="1"/>
    <col min="11267" max="11267" width="21.28515625" customWidth="1"/>
    <col min="11268" max="11268" width="26.140625" customWidth="1"/>
    <col min="11270" max="11271" width="13.5703125" customWidth="1"/>
    <col min="11523" max="11523" width="21.28515625" customWidth="1"/>
    <col min="11524" max="11524" width="26.140625" customWidth="1"/>
    <col min="11526" max="11527" width="13.5703125" customWidth="1"/>
    <col min="11779" max="11779" width="21.28515625" customWidth="1"/>
    <col min="11780" max="11780" width="26.140625" customWidth="1"/>
    <col min="11782" max="11783" width="13.5703125" customWidth="1"/>
    <col min="12035" max="12035" width="21.28515625" customWidth="1"/>
    <col min="12036" max="12036" width="26.140625" customWidth="1"/>
    <col min="12038" max="12039" width="13.5703125" customWidth="1"/>
    <col min="12291" max="12291" width="21.28515625" customWidth="1"/>
    <col min="12292" max="12292" width="26.140625" customWidth="1"/>
    <col min="12294" max="12295" width="13.5703125" customWidth="1"/>
    <col min="12547" max="12547" width="21.28515625" customWidth="1"/>
    <col min="12548" max="12548" width="26.140625" customWidth="1"/>
    <col min="12550" max="12551" width="13.5703125" customWidth="1"/>
    <col min="12803" max="12803" width="21.28515625" customWidth="1"/>
    <col min="12804" max="12804" width="26.140625" customWidth="1"/>
    <col min="12806" max="12807" width="13.5703125" customWidth="1"/>
    <col min="13059" max="13059" width="21.28515625" customWidth="1"/>
    <col min="13060" max="13060" width="26.140625" customWidth="1"/>
    <col min="13062" max="13063" width="13.5703125" customWidth="1"/>
    <col min="13315" max="13315" width="21.28515625" customWidth="1"/>
    <col min="13316" max="13316" width="26.140625" customWidth="1"/>
    <col min="13318" max="13319" width="13.5703125" customWidth="1"/>
    <col min="13571" max="13571" width="21.28515625" customWidth="1"/>
    <col min="13572" max="13572" width="26.140625" customWidth="1"/>
    <col min="13574" max="13575" width="13.5703125" customWidth="1"/>
    <col min="13827" max="13827" width="21.28515625" customWidth="1"/>
    <col min="13828" max="13828" width="26.140625" customWidth="1"/>
    <col min="13830" max="13831" width="13.5703125" customWidth="1"/>
    <col min="14083" max="14083" width="21.28515625" customWidth="1"/>
    <col min="14084" max="14084" width="26.140625" customWidth="1"/>
    <col min="14086" max="14087" width="13.5703125" customWidth="1"/>
    <col min="14339" max="14339" width="21.28515625" customWidth="1"/>
    <col min="14340" max="14340" width="26.140625" customWidth="1"/>
    <col min="14342" max="14343" width="13.5703125" customWidth="1"/>
    <col min="14595" max="14595" width="21.28515625" customWidth="1"/>
    <col min="14596" max="14596" width="26.140625" customWidth="1"/>
    <col min="14598" max="14599" width="13.5703125" customWidth="1"/>
    <col min="14851" max="14851" width="21.28515625" customWidth="1"/>
    <col min="14852" max="14852" width="26.140625" customWidth="1"/>
    <col min="14854" max="14855" width="13.5703125" customWidth="1"/>
    <col min="15107" max="15107" width="21.28515625" customWidth="1"/>
    <col min="15108" max="15108" width="26.140625" customWidth="1"/>
    <col min="15110" max="15111" width="13.5703125" customWidth="1"/>
    <col min="15363" max="15363" width="21.28515625" customWidth="1"/>
    <col min="15364" max="15364" width="26.140625" customWidth="1"/>
    <col min="15366" max="15367" width="13.5703125" customWidth="1"/>
    <col min="15619" max="15619" width="21.28515625" customWidth="1"/>
    <col min="15620" max="15620" width="26.140625" customWidth="1"/>
    <col min="15622" max="15623" width="13.5703125" customWidth="1"/>
    <col min="15875" max="15875" width="21.28515625" customWidth="1"/>
    <col min="15876" max="15876" width="26.140625" customWidth="1"/>
    <col min="15878" max="15879" width="13.5703125" customWidth="1"/>
    <col min="16131" max="16131" width="21.28515625" customWidth="1"/>
    <col min="16132" max="16132" width="26.140625" customWidth="1"/>
    <col min="16134" max="16135" width="13.5703125" customWidth="1"/>
  </cols>
  <sheetData>
    <row r="2" spans="3:14" x14ac:dyDescent="0.25">
      <c r="C2" t="s">
        <v>306</v>
      </c>
    </row>
    <row r="3" spans="3:14" x14ac:dyDescent="0.25">
      <c r="E3" t="s">
        <v>307</v>
      </c>
    </row>
    <row r="4" spans="3:14" x14ac:dyDescent="0.25">
      <c r="C4" s="55" t="s">
        <v>308</v>
      </c>
      <c r="D4" s="55" t="s">
        <v>309</v>
      </c>
      <c r="E4" s="55" t="s">
        <v>310</v>
      </c>
      <c r="F4" s="55" t="s">
        <v>213</v>
      </c>
      <c r="G4" s="55" t="s">
        <v>311</v>
      </c>
      <c r="H4" s="55" t="s">
        <v>312</v>
      </c>
      <c r="I4" s="55" t="s">
        <v>313</v>
      </c>
      <c r="J4" s="55" t="s">
        <v>314</v>
      </c>
      <c r="K4" s="55" t="s">
        <v>315</v>
      </c>
      <c r="L4" s="55" t="s">
        <v>316</v>
      </c>
      <c r="M4" s="55" t="s">
        <v>317</v>
      </c>
      <c r="N4" s="55" t="s">
        <v>318</v>
      </c>
    </row>
    <row r="5" spans="3:14" x14ac:dyDescent="0.25">
      <c r="C5" s="55" t="s">
        <v>319</v>
      </c>
      <c r="D5" s="55" t="s">
        <v>320</v>
      </c>
      <c r="E5" s="55"/>
      <c r="F5" s="55"/>
      <c r="G5" s="55"/>
      <c r="H5" s="55"/>
      <c r="I5" s="55"/>
      <c r="J5" s="55"/>
      <c r="K5" s="55"/>
      <c r="L5" s="55"/>
      <c r="M5" s="55">
        <v>0.25</v>
      </c>
      <c r="N5" s="55"/>
    </row>
    <row r="6" spans="3:14" x14ac:dyDescent="0.25">
      <c r="C6" s="55" t="s">
        <v>321</v>
      </c>
      <c r="D6" s="55" t="s">
        <v>199</v>
      </c>
      <c r="E6" s="55">
        <v>0.01</v>
      </c>
      <c r="F6" s="55">
        <v>0.01</v>
      </c>
      <c r="G6" s="55"/>
      <c r="H6" s="55"/>
      <c r="I6" s="55"/>
      <c r="J6" s="55"/>
      <c r="K6" s="55"/>
      <c r="L6" s="55"/>
      <c r="M6" s="55">
        <v>0.25</v>
      </c>
      <c r="N6" s="55"/>
    </row>
    <row r="7" spans="3:14" x14ac:dyDescent="0.25">
      <c r="C7" s="55" t="s">
        <v>322</v>
      </c>
      <c r="D7" s="55" t="s">
        <v>323</v>
      </c>
      <c r="E7" s="55"/>
      <c r="F7" s="55"/>
      <c r="G7" s="55"/>
      <c r="H7" s="55"/>
      <c r="I7" s="55"/>
      <c r="J7" s="55">
        <v>1</v>
      </c>
      <c r="K7" s="55">
        <v>0.35</v>
      </c>
      <c r="L7" s="55">
        <v>0.15</v>
      </c>
      <c r="M7" s="55"/>
      <c r="N7" s="55"/>
    </row>
    <row r="8" spans="3:14" x14ac:dyDescent="0.25">
      <c r="C8" s="55" t="s">
        <v>322</v>
      </c>
      <c r="D8" s="55" t="s">
        <v>324</v>
      </c>
      <c r="E8" s="55"/>
      <c r="F8" s="55"/>
      <c r="G8" s="55"/>
      <c r="H8" s="55"/>
      <c r="I8" s="55"/>
      <c r="J8" s="55"/>
      <c r="K8" s="55">
        <v>0.65</v>
      </c>
      <c r="L8" s="55">
        <v>0.85</v>
      </c>
      <c r="M8" s="55"/>
      <c r="N8" s="55"/>
    </row>
    <row r="9" spans="3:14" x14ac:dyDescent="0.25">
      <c r="C9" s="55" t="s">
        <v>322</v>
      </c>
      <c r="D9" s="55" t="s">
        <v>242</v>
      </c>
      <c r="E9" s="55">
        <v>0.97</v>
      </c>
      <c r="F9" s="55">
        <v>0.97</v>
      </c>
      <c r="G9" s="55"/>
      <c r="H9" s="55">
        <v>0.97</v>
      </c>
      <c r="I9" s="55">
        <v>0.99</v>
      </c>
      <c r="J9" s="55"/>
      <c r="K9" s="55"/>
      <c r="L9" s="55"/>
      <c r="M9" s="55">
        <v>0.5</v>
      </c>
      <c r="N9" s="55"/>
    </row>
    <row r="10" spans="3:14" x14ac:dyDescent="0.25">
      <c r="C10" s="55" t="s">
        <v>322</v>
      </c>
      <c r="D10" s="55" t="s">
        <v>197</v>
      </c>
      <c r="E10" s="55"/>
      <c r="F10" s="55"/>
      <c r="G10" s="55">
        <v>1</v>
      </c>
      <c r="H10" s="55">
        <v>0.03</v>
      </c>
      <c r="I10" s="55">
        <v>0.01</v>
      </c>
      <c r="J10" s="55"/>
      <c r="K10" s="55"/>
      <c r="L10" s="55"/>
      <c r="M10" s="55"/>
      <c r="N10" s="55"/>
    </row>
    <row r="11" spans="3:14" x14ac:dyDescent="0.25">
      <c r="C11" s="55" t="s">
        <v>325</v>
      </c>
      <c r="D11" s="55" t="s">
        <v>326</v>
      </c>
      <c r="E11" s="55">
        <v>0.02</v>
      </c>
      <c r="F11" s="55">
        <v>0.02</v>
      </c>
      <c r="G11" s="55"/>
      <c r="H11" s="55"/>
      <c r="I11" s="55"/>
      <c r="J11" s="55"/>
      <c r="K11" s="55"/>
      <c r="L11" s="55"/>
      <c r="M11" s="55"/>
      <c r="N11" s="55">
        <v>1</v>
      </c>
    </row>
    <row r="12" spans="3:14" x14ac:dyDescent="0.25">
      <c r="C12" s="55"/>
      <c r="D12" s="55"/>
      <c r="E12" s="55">
        <f>SUM(E5:E11)</f>
        <v>1</v>
      </c>
      <c r="F12" s="55">
        <f t="shared" ref="F12:N12" si="0">SUM(F5:F11)</f>
        <v>1</v>
      </c>
      <c r="G12" s="55">
        <f t="shared" si="0"/>
        <v>1</v>
      </c>
      <c r="H12" s="55">
        <f t="shared" si="0"/>
        <v>1</v>
      </c>
      <c r="I12" s="55">
        <f t="shared" si="0"/>
        <v>1</v>
      </c>
      <c r="J12" s="55">
        <f t="shared" si="0"/>
        <v>1</v>
      </c>
      <c r="K12" s="55">
        <f t="shared" si="0"/>
        <v>1</v>
      </c>
      <c r="L12" s="55">
        <f t="shared" si="0"/>
        <v>1</v>
      </c>
      <c r="M12" s="55">
        <f t="shared" si="0"/>
        <v>1</v>
      </c>
      <c r="N12" s="55">
        <f t="shared" si="0"/>
        <v>1</v>
      </c>
    </row>
    <row r="15" spans="3:14" x14ac:dyDescent="0.25">
      <c r="C15" t="s">
        <v>327</v>
      </c>
    </row>
    <row r="16" spans="3:14" x14ac:dyDescent="0.25">
      <c r="C16" s="55"/>
      <c r="D16" s="55"/>
      <c r="E16" s="55" t="s">
        <v>307</v>
      </c>
      <c r="F16" s="55"/>
      <c r="G16" s="55"/>
      <c r="H16" s="55"/>
      <c r="I16" s="55"/>
      <c r="J16" s="55"/>
      <c r="K16" s="55"/>
      <c r="L16" s="55"/>
      <c r="M16" s="55"/>
      <c r="N16" s="55"/>
    </row>
    <row r="17" spans="3:14" x14ac:dyDescent="0.25">
      <c r="C17" s="55" t="s">
        <v>308</v>
      </c>
      <c r="D17" s="55" t="s">
        <v>309</v>
      </c>
      <c r="E17" s="55" t="s">
        <v>310</v>
      </c>
      <c r="F17" s="55" t="s">
        <v>213</v>
      </c>
      <c r="G17" s="55" t="s">
        <v>311</v>
      </c>
      <c r="H17" s="55" t="s">
        <v>312</v>
      </c>
      <c r="I17" s="55" t="s">
        <v>313</v>
      </c>
      <c r="J17" s="55" t="s">
        <v>314</v>
      </c>
      <c r="K17" s="55" t="s">
        <v>315</v>
      </c>
      <c r="L17" s="55" t="s">
        <v>316</v>
      </c>
      <c r="M17" s="55" t="s">
        <v>317</v>
      </c>
      <c r="N17" s="55" t="s">
        <v>318</v>
      </c>
    </row>
    <row r="18" spans="3:14" x14ac:dyDescent="0.25">
      <c r="C18" s="55" t="s">
        <v>319</v>
      </c>
      <c r="D18" s="55" t="s">
        <v>320</v>
      </c>
      <c r="E18" s="93">
        <v>0.25</v>
      </c>
      <c r="F18" s="93">
        <v>0.25</v>
      </c>
      <c r="G18" s="55"/>
      <c r="H18" s="55"/>
      <c r="I18" s="55"/>
      <c r="J18" s="55"/>
      <c r="K18" s="55"/>
      <c r="L18" s="55"/>
      <c r="M18" s="93">
        <v>0.75</v>
      </c>
      <c r="N18" s="55"/>
    </row>
    <row r="19" spans="3:14" x14ac:dyDescent="0.25">
      <c r="C19" s="55" t="s">
        <v>321</v>
      </c>
      <c r="D19" s="55" t="s">
        <v>199</v>
      </c>
      <c r="E19" s="93">
        <v>0.24</v>
      </c>
      <c r="F19" s="93">
        <v>0.24</v>
      </c>
      <c r="G19" s="55"/>
      <c r="H19" s="55"/>
      <c r="I19" s="55"/>
      <c r="J19" s="55"/>
      <c r="K19" s="55"/>
      <c r="L19" s="55"/>
      <c r="M19" s="93">
        <v>0.25</v>
      </c>
      <c r="N19" s="55"/>
    </row>
    <row r="20" spans="3:14" x14ac:dyDescent="0.25">
      <c r="C20" s="55" t="s">
        <v>322</v>
      </c>
      <c r="D20" s="55" t="s">
        <v>323</v>
      </c>
      <c r="E20" s="93"/>
      <c r="F20" s="93"/>
      <c r="G20" s="55"/>
      <c r="H20" s="55"/>
      <c r="I20" s="55"/>
      <c r="J20" s="55">
        <v>1</v>
      </c>
      <c r="K20" s="55">
        <v>0.35</v>
      </c>
      <c r="L20" s="55">
        <v>0.15</v>
      </c>
      <c r="M20" s="55"/>
      <c r="N20" s="55"/>
    </row>
    <row r="21" spans="3:14" x14ac:dyDescent="0.25">
      <c r="C21" s="55" t="s">
        <v>322</v>
      </c>
      <c r="D21" s="55" t="s">
        <v>324</v>
      </c>
      <c r="E21" s="93"/>
      <c r="F21" s="93"/>
      <c r="G21" s="55"/>
      <c r="H21" s="55"/>
      <c r="I21" s="55"/>
      <c r="J21" s="55"/>
      <c r="K21" s="55">
        <v>0.65</v>
      </c>
      <c r="L21" s="55">
        <v>0.85</v>
      </c>
      <c r="M21" s="55"/>
      <c r="N21" s="55"/>
    </row>
    <row r="22" spans="3:14" x14ac:dyDescent="0.25">
      <c r="C22" s="55" t="s">
        <v>322</v>
      </c>
      <c r="D22" s="55" t="s">
        <v>242</v>
      </c>
      <c r="E22" s="93">
        <v>0.49</v>
      </c>
      <c r="F22" s="93">
        <v>0.49</v>
      </c>
      <c r="G22" s="55"/>
      <c r="H22" s="55">
        <v>0.97</v>
      </c>
      <c r="I22" s="55">
        <v>0.99</v>
      </c>
      <c r="J22" s="55"/>
      <c r="K22" s="55"/>
      <c r="L22" s="55"/>
      <c r="M22" s="55"/>
      <c r="N22" s="55"/>
    </row>
    <row r="23" spans="3:14" x14ac:dyDescent="0.25">
      <c r="C23" s="55" t="s">
        <v>322</v>
      </c>
      <c r="D23" s="55" t="s">
        <v>197</v>
      </c>
      <c r="E23" s="93"/>
      <c r="F23" s="93"/>
      <c r="G23" s="55">
        <v>1</v>
      </c>
      <c r="H23" s="55">
        <v>0.03</v>
      </c>
      <c r="I23" s="55">
        <v>0.01</v>
      </c>
      <c r="J23" s="55"/>
      <c r="K23" s="55"/>
      <c r="L23" s="55"/>
      <c r="M23" s="55"/>
      <c r="N23" s="55"/>
    </row>
    <row r="24" spans="3:14" x14ac:dyDescent="0.25">
      <c r="C24" s="55" t="s">
        <v>325</v>
      </c>
      <c r="D24" s="55" t="s">
        <v>326</v>
      </c>
      <c r="E24" s="93">
        <v>0.02</v>
      </c>
      <c r="F24" s="93">
        <v>0.02</v>
      </c>
      <c r="G24" s="55"/>
      <c r="H24" s="55"/>
      <c r="I24" s="55"/>
      <c r="J24" s="55"/>
      <c r="K24" s="55"/>
      <c r="L24" s="55"/>
      <c r="M24" s="55"/>
      <c r="N24" s="55">
        <v>1</v>
      </c>
    </row>
    <row r="25" spans="3:14" x14ac:dyDescent="0.25">
      <c r="C25" s="55"/>
      <c r="D25" s="55"/>
      <c r="E25" s="55">
        <f t="shared" ref="E25:N25" si="1">SUM(E18:E24)</f>
        <v>1</v>
      </c>
      <c r="F25" s="55">
        <f t="shared" si="1"/>
        <v>1</v>
      </c>
      <c r="G25" s="55">
        <f t="shared" si="1"/>
        <v>1</v>
      </c>
      <c r="H25" s="55">
        <f t="shared" si="1"/>
        <v>1</v>
      </c>
      <c r="I25" s="55">
        <f t="shared" si="1"/>
        <v>1</v>
      </c>
      <c r="J25" s="55">
        <f t="shared" si="1"/>
        <v>1</v>
      </c>
      <c r="K25" s="55">
        <f t="shared" si="1"/>
        <v>1</v>
      </c>
      <c r="L25" s="55">
        <f t="shared" si="1"/>
        <v>1</v>
      </c>
      <c r="M25" s="55">
        <f t="shared" si="1"/>
        <v>1</v>
      </c>
      <c r="N25" s="55">
        <f t="shared" si="1"/>
        <v>1</v>
      </c>
    </row>
    <row r="26" spans="3:14" x14ac:dyDescent="0.25"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</row>
    <row r="27" spans="3:14" x14ac:dyDescent="0.25"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3:14" x14ac:dyDescent="0.25"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</row>
    <row r="29" spans="3:14" x14ac:dyDescent="0.25">
      <c r="C29" t="s">
        <v>328</v>
      </c>
    </row>
    <row r="30" spans="3:14" x14ac:dyDescent="0.25">
      <c r="C30" s="55"/>
      <c r="D30" s="55"/>
      <c r="E30" s="55" t="s">
        <v>307</v>
      </c>
      <c r="F30" s="55"/>
      <c r="G30" s="55"/>
      <c r="H30" s="55"/>
      <c r="I30" s="55"/>
      <c r="J30" s="55"/>
      <c r="K30" s="55"/>
      <c r="L30" s="55"/>
      <c r="M30" s="55"/>
      <c r="N30" s="55"/>
    </row>
    <row r="31" spans="3:14" x14ac:dyDescent="0.25">
      <c r="C31" s="55" t="s">
        <v>308</v>
      </c>
      <c r="D31" s="55" t="s">
        <v>309</v>
      </c>
      <c r="E31" s="55" t="s">
        <v>310</v>
      </c>
      <c r="F31" s="55" t="s">
        <v>213</v>
      </c>
      <c r="G31" s="55" t="s">
        <v>311</v>
      </c>
      <c r="H31" s="55" t="s">
        <v>312</v>
      </c>
      <c r="I31" s="55" t="s">
        <v>313</v>
      </c>
      <c r="J31" s="55" t="s">
        <v>314</v>
      </c>
      <c r="K31" s="55" t="s">
        <v>315</v>
      </c>
      <c r="L31" s="55" t="s">
        <v>316</v>
      </c>
      <c r="M31" s="55" t="s">
        <v>317</v>
      </c>
      <c r="N31" s="55" t="s">
        <v>318</v>
      </c>
    </row>
    <row r="32" spans="3:14" x14ac:dyDescent="0.25">
      <c r="C32" s="55" t="s">
        <v>319</v>
      </c>
      <c r="D32" s="55" t="s">
        <v>320</v>
      </c>
      <c r="E32" s="93">
        <v>0.15</v>
      </c>
      <c r="F32" s="93">
        <v>0.15</v>
      </c>
      <c r="G32" s="55"/>
      <c r="H32" s="55"/>
      <c r="I32" s="55"/>
      <c r="J32" s="55"/>
      <c r="K32" s="55"/>
      <c r="L32" s="55"/>
      <c r="M32" s="93">
        <v>0.6</v>
      </c>
      <c r="N32" s="55"/>
    </row>
    <row r="33" spans="3:14" x14ac:dyDescent="0.25">
      <c r="C33" s="55" t="s">
        <v>321</v>
      </c>
      <c r="D33" s="55" t="s">
        <v>199</v>
      </c>
      <c r="E33" s="93">
        <v>0.13</v>
      </c>
      <c r="F33" s="93">
        <v>0.13</v>
      </c>
      <c r="G33" s="55"/>
      <c r="H33" s="55"/>
      <c r="I33" s="55"/>
      <c r="J33" s="55"/>
      <c r="K33" s="55"/>
      <c r="L33" s="55"/>
      <c r="M33" s="93">
        <v>0.4</v>
      </c>
      <c r="N33" s="55"/>
    </row>
    <row r="34" spans="3:14" x14ac:dyDescent="0.25">
      <c r="C34" s="55" t="s">
        <v>322</v>
      </c>
      <c r="D34" s="55" t="s">
        <v>323</v>
      </c>
      <c r="E34" s="93"/>
      <c r="F34" s="93"/>
      <c r="G34" s="55"/>
      <c r="H34" s="55"/>
      <c r="I34" s="55"/>
      <c r="J34" s="55">
        <v>1</v>
      </c>
      <c r="K34" s="55">
        <v>0.35</v>
      </c>
      <c r="L34" s="55">
        <v>0.15</v>
      </c>
      <c r="M34" s="55"/>
      <c r="N34" s="55"/>
    </row>
    <row r="35" spans="3:14" x14ac:dyDescent="0.25">
      <c r="C35" s="55" t="s">
        <v>322</v>
      </c>
      <c r="D35" s="55" t="s">
        <v>324</v>
      </c>
      <c r="E35" s="93"/>
      <c r="F35" s="93"/>
      <c r="G35" s="55"/>
      <c r="H35" s="55"/>
      <c r="I35" s="55"/>
      <c r="J35" s="55"/>
      <c r="K35" s="55">
        <v>0.65</v>
      </c>
      <c r="L35" s="55">
        <v>0.85</v>
      </c>
      <c r="M35" s="55"/>
      <c r="N35" s="55"/>
    </row>
    <row r="36" spans="3:14" x14ac:dyDescent="0.25">
      <c r="C36" s="55" t="s">
        <v>322</v>
      </c>
      <c r="D36" s="55" t="s">
        <v>242</v>
      </c>
      <c r="E36" s="93">
        <v>0.7</v>
      </c>
      <c r="F36" s="93">
        <v>0.7</v>
      </c>
      <c r="G36" s="55"/>
      <c r="H36" s="55">
        <v>0.97</v>
      </c>
      <c r="I36" s="55">
        <v>0.99</v>
      </c>
      <c r="J36" s="55"/>
      <c r="K36" s="55"/>
      <c r="L36" s="55"/>
      <c r="M36" s="55"/>
      <c r="N36" s="55"/>
    </row>
    <row r="37" spans="3:14" x14ac:dyDescent="0.25">
      <c r="C37" s="55" t="s">
        <v>322</v>
      </c>
      <c r="D37" s="55" t="s">
        <v>197</v>
      </c>
      <c r="E37" s="93"/>
      <c r="F37" s="93"/>
      <c r="G37" s="55">
        <v>1</v>
      </c>
      <c r="H37" s="55">
        <v>0.03</v>
      </c>
      <c r="I37" s="55">
        <v>0.01</v>
      </c>
      <c r="J37" s="55"/>
      <c r="K37" s="55"/>
      <c r="L37" s="55"/>
      <c r="M37" s="55"/>
      <c r="N37" s="55"/>
    </row>
    <row r="38" spans="3:14" x14ac:dyDescent="0.25">
      <c r="C38" s="55" t="s">
        <v>325</v>
      </c>
      <c r="D38" s="55" t="s">
        <v>326</v>
      </c>
      <c r="E38" s="93">
        <v>0.02</v>
      </c>
      <c r="F38" s="93">
        <v>0.02</v>
      </c>
      <c r="G38" s="55"/>
      <c r="H38" s="55"/>
      <c r="I38" s="55"/>
      <c r="J38" s="55"/>
      <c r="K38" s="55"/>
      <c r="L38" s="55"/>
      <c r="M38" s="55"/>
      <c r="N38" s="55">
        <v>1</v>
      </c>
    </row>
    <row r="39" spans="3:14" x14ac:dyDescent="0.25">
      <c r="C39" s="55"/>
      <c r="D39" s="55"/>
      <c r="E39" s="55">
        <f t="shared" ref="E39:N39" si="2">SUM(E32:E38)</f>
        <v>1</v>
      </c>
      <c r="F39" s="55">
        <f t="shared" si="2"/>
        <v>1</v>
      </c>
      <c r="G39" s="55">
        <f t="shared" si="2"/>
        <v>1</v>
      </c>
      <c r="H39" s="55">
        <f t="shared" si="2"/>
        <v>1</v>
      </c>
      <c r="I39" s="55">
        <f t="shared" si="2"/>
        <v>1</v>
      </c>
      <c r="J39" s="55">
        <f t="shared" si="2"/>
        <v>1</v>
      </c>
      <c r="K39" s="55">
        <f t="shared" si="2"/>
        <v>1</v>
      </c>
      <c r="L39" s="55">
        <f t="shared" si="2"/>
        <v>1</v>
      </c>
      <c r="M39" s="55">
        <f t="shared" si="2"/>
        <v>1</v>
      </c>
      <c r="N39" s="55">
        <f t="shared" si="2"/>
        <v>1</v>
      </c>
    </row>
    <row r="44" spans="3:14" x14ac:dyDescent="0.25">
      <c r="C44" t="s">
        <v>329</v>
      </c>
    </row>
    <row r="45" spans="3:14" x14ac:dyDescent="0.25">
      <c r="C45" s="55"/>
      <c r="D45" s="55"/>
      <c r="E45" s="55" t="s">
        <v>307</v>
      </c>
      <c r="F45" s="55"/>
      <c r="G45" s="55"/>
      <c r="H45" s="55"/>
      <c r="I45" s="55"/>
      <c r="J45" s="55"/>
      <c r="K45" s="55"/>
      <c r="L45" s="55"/>
      <c r="M45" s="55"/>
      <c r="N45" s="55"/>
    </row>
    <row r="46" spans="3:14" x14ac:dyDescent="0.25">
      <c r="C46" s="55" t="s">
        <v>308</v>
      </c>
      <c r="D46" s="55" t="s">
        <v>309</v>
      </c>
      <c r="E46" s="55" t="s">
        <v>310</v>
      </c>
      <c r="F46" s="55" t="s">
        <v>213</v>
      </c>
      <c r="G46" s="55" t="s">
        <v>311</v>
      </c>
      <c r="H46" s="55" t="s">
        <v>312</v>
      </c>
      <c r="I46" s="55" t="s">
        <v>313</v>
      </c>
      <c r="J46" s="55" t="s">
        <v>314</v>
      </c>
      <c r="K46" s="55" t="s">
        <v>315</v>
      </c>
      <c r="L46" s="55" t="s">
        <v>316</v>
      </c>
      <c r="M46" s="55" t="s">
        <v>317</v>
      </c>
      <c r="N46" s="55" t="s">
        <v>318</v>
      </c>
    </row>
    <row r="47" spans="3:14" x14ac:dyDescent="0.25">
      <c r="C47" s="55" t="s">
        <v>319</v>
      </c>
      <c r="D47" s="55" t="s">
        <v>320</v>
      </c>
      <c r="E47" s="93">
        <v>0.08</v>
      </c>
      <c r="F47" s="93">
        <v>0.08</v>
      </c>
      <c r="G47" s="55"/>
      <c r="H47" s="55"/>
      <c r="I47" s="55"/>
      <c r="J47" s="55"/>
      <c r="K47" s="55"/>
      <c r="L47" s="55"/>
      <c r="M47" s="93">
        <v>0.3</v>
      </c>
      <c r="N47" s="55"/>
    </row>
    <row r="48" spans="3:14" x14ac:dyDescent="0.25">
      <c r="C48" s="55" t="s">
        <v>321</v>
      </c>
      <c r="D48" s="55" t="s">
        <v>199</v>
      </c>
      <c r="E48" s="93">
        <v>7.0000000000000007E-2</v>
      </c>
      <c r="F48" s="93">
        <v>7.0000000000000007E-2</v>
      </c>
      <c r="G48" s="55"/>
      <c r="H48" s="55"/>
      <c r="I48" s="55"/>
      <c r="J48" s="55"/>
      <c r="K48" s="55"/>
      <c r="L48" s="55"/>
      <c r="M48" s="93">
        <v>0.3</v>
      </c>
      <c r="N48" s="55"/>
    </row>
    <row r="49" spans="3:14" x14ac:dyDescent="0.25">
      <c r="C49" s="55" t="s">
        <v>322</v>
      </c>
      <c r="D49" s="55" t="s">
        <v>323</v>
      </c>
      <c r="E49" s="93"/>
      <c r="F49" s="93"/>
      <c r="G49" s="55"/>
      <c r="H49" s="55"/>
      <c r="I49" s="55"/>
      <c r="J49" s="55">
        <v>1</v>
      </c>
      <c r="K49" s="55">
        <v>0.35</v>
      </c>
      <c r="L49" s="55">
        <v>0.15</v>
      </c>
      <c r="M49" s="55"/>
      <c r="N49" s="55"/>
    </row>
    <row r="50" spans="3:14" x14ac:dyDescent="0.25">
      <c r="C50" s="55" t="s">
        <v>322</v>
      </c>
      <c r="D50" s="55" t="s">
        <v>324</v>
      </c>
      <c r="E50" s="93"/>
      <c r="F50" s="93"/>
      <c r="G50" s="55"/>
      <c r="H50" s="55"/>
      <c r="I50" s="55"/>
      <c r="J50" s="55"/>
      <c r="K50" s="55">
        <v>0.65</v>
      </c>
      <c r="L50" s="55">
        <v>0.85</v>
      </c>
      <c r="M50" s="55"/>
      <c r="N50" s="55"/>
    </row>
    <row r="51" spans="3:14" x14ac:dyDescent="0.25">
      <c r="C51" s="55" t="s">
        <v>322</v>
      </c>
      <c r="D51" s="55" t="s">
        <v>242</v>
      </c>
      <c r="E51" s="93">
        <v>0.83</v>
      </c>
      <c r="F51" s="93">
        <v>0.83</v>
      </c>
      <c r="G51" s="55"/>
      <c r="H51" s="55">
        <v>0.97</v>
      </c>
      <c r="I51" s="55">
        <v>0.99</v>
      </c>
      <c r="J51" s="55"/>
      <c r="K51" s="55"/>
      <c r="L51" s="55"/>
      <c r="M51" s="93">
        <v>0.4</v>
      </c>
      <c r="N51" s="55"/>
    </row>
    <row r="52" spans="3:14" x14ac:dyDescent="0.25">
      <c r="C52" s="55" t="s">
        <v>322</v>
      </c>
      <c r="D52" s="55" t="s">
        <v>197</v>
      </c>
      <c r="E52" s="93"/>
      <c r="F52" s="93"/>
      <c r="G52" s="55">
        <v>1</v>
      </c>
      <c r="H52" s="55">
        <v>0.03</v>
      </c>
      <c r="I52" s="55">
        <v>0.01</v>
      </c>
      <c r="J52" s="55"/>
      <c r="K52" s="55"/>
      <c r="L52" s="55"/>
      <c r="M52" s="55"/>
      <c r="N52" s="55"/>
    </row>
    <row r="53" spans="3:14" x14ac:dyDescent="0.25">
      <c r="C53" s="55" t="s">
        <v>325</v>
      </c>
      <c r="D53" s="55" t="s">
        <v>326</v>
      </c>
      <c r="E53" s="93">
        <v>0.02</v>
      </c>
      <c r="F53" s="93">
        <v>0.02</v>
      </c>
      <c r="G53" s="55"/>
      <c r="H53" s="55"/>
      <c r="I53" s="55"/>
      <c r="J53" s="55"/>
      <c r="K53" s="55"/>
      <c r="L53" s="55"/>
      <c r="M53" s="55"/>
      <c r="N53" s="55">
        <v>1</v>
      </c>
    </row>
    <row r="54" spans="3:14" x14ac:dyDescent="0.25">
      <c r="C54" s="55"/>
      <c r="D54" s="55"/>
      <c r="E54" s="55">
        <f t="shared" ref="E54:N54" si="3">SUM(E47:E53)</f>
        <v>1</v>
      </c>
      <c r="F54" s="55">
        <f t="shared" si="3"/>
        <v>1</v>
      </c>
      <c r="G54" s="55">
        <f t="shared" si="3"/>
        <v>1</v>
      </c>
      <c r="H54" s="55">
        <f t="shared" si="3"/>
        <v>1</v>
      </c>
      <c r="I54" s="55">
        <f t="shared" si="3"/>
        <v>1</v>
      </c>
      <c r="J54" s="55">
        <f t="shared" si="3"/>
        <v>1</v>
      </c>
      <c r="K54" s="55">
        <f t="shared" si="3"/>
        <v>1</v>
      </c>
      <c r="L54" s="55">
        <f t="shared" si="3"/>
        <v>1</v>
      </c>
      <c r="M54" s="55">
        <f t="shared" si="3"/>
        <v>1</v>
      </c>
      <c r="N54" s="55">
        <f t="shared" si="3"/>
        <v>1</v>
      </c>
    </row>
    <row r="58" spans="3:14" x14ac:dyDescent="0.25">
      <c r="C58" t="s">
        <v>330</v>
      </c>
    </row>
    <row r="59" spans="3:14" x14ac:dyDescent="0.25">
      <c r="C59" s="55"/>
      <c r="D59" s="55"/>
      <c r="E59" s="55" t="s">
        <v>307</v>
      </c>
      <c r="F59" s="55"/>
      <c r="G59" s="55"/>
      <c r="H59" s="55"/>
      <c r="I59" s="55"/>
      <c r="J59" s="55"/>
      <c r="K59" s="55"/>
      <c r="L59" s="55"/>
      <c r="M59" s="55"/>
      <c r="N59" s="55"/>
    </row>
    <row r="60" spans="3:14" x14ac:dyDescent="0.25">
      <c r="C60" s="55" t="s">
        <v>308</v>
      </c>
      <c r="D60" s="55" t="s">
        <v>309</v>
      </c>
      <c r="E60" s="55" t="s">
        <v>310</v>
      </c>
      <c r="F60" s="55" t="s">
        <v>213</v>
      </c>
      <c r="G60" s="55" t="s">
        <v>311</v>
      </c>
      <c r="H60" s="55" t="s">
        <v>312</v>
      </c>
      <c r="I60" s="55" t="s">
        <v>313</v>
      </c>
      <c r="J60" s="55" t="s">
        <v>314</v>
      </c>
      <c r="K60" s="55" t="s">
        <v>315</v>
      </c>
      <c r="L60" s="55" t="s">
        <v>316</v>
      </c>
      <c r="M60" s="55" t="s">
        <v>317</v>
      </c>
      <c r="N60" s="55" t="s">
        <v>318</v>
      </c>
    </row>
    <row r="61" spans="3:14" x14ac:dyDescent="0.25">
      <c r="C61" s="55" t="s">
        <v>319</v>
      </c>
      <c r="D61" s="55" t="s">
        <v>320</v>
      </c>
      <c r="E61" s="93">
        <v>0.05</v>
      </c>
      <c r="F61" s="93">
        <v>0.05</v>
      </c>
      <c r="G61" s="55"/>
      <c r="H61" s="55"/>
      <c r="I61" s="55"/>
      <c r="J61" s="55"/>
      <c r="K61" s="55"/>
      <c r="L61" s="55"/>
      <c r="M61" s="93">
        <v>0.3</v>
      </c>
      <c r="N61" s="55"/>
    </row>
    <row r="62" spans="3:14" x14ac:dyDescent="0.25">
      <c r="C62" s="55" t="s">
        <v>321</v>
      </c>
      <c r="D62" s="55" t="s">
        <v>199</v>
      </c>
      <c r="E62" s="93">
        <v>0.03</v>
      </c>
      <c r="F62" s="93">
        <v>0.03</v>
      </c>
      <c r="G62" s="55"/>
      <c r="H62" s="55"/>
      <c r="I62" s="55"/>
      <c r="J62" s="55"/>
      <c r="K62" s="55"/>
      <c r="L62" s="55"/>
      <c r="M62" s="93">
        <v>0.3</v>
      </c>
      <c r="N62" s="55"/>
    </row>
    <row r="63" spans="3:14" x14ac:dyDescent="0.25">
      <c r="C63" s="55" t="s">
        <v>322</v>
      </c>
      <c r="D63" s="55" t="s">
        <v>323</v>
      </c>
      <c r="E63" s="93"/>
      <c r="F63" s="93"/>
      <c r="G63" s="55"/>
      <c r="H63" s="55"/>
      <c r="I63" s="55"/>
      <c r="J63" s="55">
        <v>1</v>
      </c>
      <c r="K63" s="55">
        <v>0.35</v>
      </c>
      <c r="L63" s="55">
        <v>0.15</v>
      </c>
      <c r="M63" s="55"/>
      <c r="N63" s="55"/>
    </row>
    <row r="64" spans="3:14" x14ac:dyDescent="0.25">
      <c r="C64" s="55" t="s">
        <v>322</v>
      </c>
      <c r="D64" s="55" t="s">
        <v>324</v>
      </c>
      <c r="E64" s="93"/>
      <c r="F64" s="93"/>
      <c r="G64" s="55"/>
      <c r="H64" s="55"/>
      <c r="I64" s="55"/>
      <c r="J64" s="55"/>
      <c r="K64" s="55">
        <v>0.65</v>
      </c>
      <c r="L64" s="55">
        <v>0.85</v>
      </c>
      <c r="M64" s="55"/>
      <c r="N64" s="55"/>
    </row>
    <row r="65" spans="3:14" x14ac:dyDescent="0.25">
      <c r="C65" s="55" t="s">
        <v>322</v>
      </c>
      <c r="D65" s="55" t="s">
        <v>242</v>
      </c>
      <c r="E65" s="93">
        <v>0.9</v>
      </c>
      <c r="F65" s="93">
        <v>0.9</v>
      </c>
      <c r="G65" s="55"/>
      <c r="H65" s="55">
        <v>0.97</v>
      </c>
      <c r="I65" s="55">
        <v>0.99</v>
      </c>
      <c r="J65" s="55"/>
      <c r="K65" s="55"/>
      <c r="L65" s="55"/>
      <c r="M65" s="93">
        <v>0.4</v>
      </c>
      <c r="N65" s="55"/>
    </row>
    <row r="66" spans="3:14" x14ac:dyDescent="0.25">
      <c r="C66" s="55" t="s">
        <v>322</v>
      </c>
      <c r="D66" s="55" t="s">
        <v>197</v>
      </c>
      <c r="E66" s="93"/>
      <c r="F66" s="93"/>
      <c r="G66" s="55">
        <v>1</v>
      </c>
      <c r="H66" s="55">
        <v>0.03</v>
      </c>
      <c r="I66" s="55">
        <v>0.01</v>
      </c>
      <c r="J66" s="55"/>
      <c r="K66" s="55"/>
      <c r="L66" s="55"/>
      <c r="M66" s="55"/>
      <c r="N66" s="55"/>
    </row>
    <row r="67" spans="3:14" x14ac:dyDescent="0.25">
      <c r="C67" s="55" t="s">
        <v>325</v>
      </c>
      <c r="D67" s="55" t="s">
        <v>326</v>
      </c>
      <c r="E67" s="93">
        <v>0.02</v>
      </c>
      <c r="F67" s="93">
        <v>0.02</v>
      </c>
      <c r="G67" s="55"/>
      <c r="H67" s="55"/>
      <c r="I67" s="55"/>
      <c r="J67" s="55"/>
      <c r="K67" s="55"/>
      <c r="L67" s="55"/>
      <c r="M67" s="55"/>
      <c r="N67" s="55">
        <v>1</v>
      </c>
    </row>
    <row r="68" spans="3:14" x14ac:dyDescent="0.25">
      <c r="C68" s="55"/>
      <c r="D68" s="55"/>
      <c r="E68" s="55">
        <f t="shared" ref="E68:N68" si="4">SUM(E61:E67)</f>
        <v>1</v>
      </c>
      <c r="F68" s="55">
        <f t="shared" si="4"/>
        <v>1</v>
      </c>
      <c r="G68" s="55">
        <f t="shared" si="4"/>
        <v>1</v>
      </c>
      <c r="H68" s="55">
        <f t="shared" si="4"/>
        <v>1</v>
      </c>
      <c r="I68" s="55">
        <f t="shared" si="4"/>
        <v>1</v>
      </c>
      <c r="J68" s="55">
        <f t="shared" si="4"/>
        <v>1</v>
      </c>
      <c r="K68" s="55">
        <f t="shared" si="4"/>
        <v>1</v>
      </c>
      <c r="L68" s="55">
        <f t="shared" si="4"/>
        <v>1</v>
      </c>
      <c r="M68" s="55">
        <f t="shared" si="4"/>
        <v>1</v>
      </c>
      <c r="N68" s="55">
        <f t="shared" si="4"/>
        <v>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B1" zoomScale="70" zoomScaleNormal="70" workbookViewId="0">
      <selection activeCell="J33" sqref="J33"/>
    </sheetView>
  </sheetViews>
  <sheetFormatPr defaultRowHeight="15" x14ac:dyDescent="0.25"/>
  <cols>
    <col min="1" max="1" width="16" bestFit="1" customWidth="1"/>
    <col min="2" max="2" width="61" bestFit="1" customWidth="1"/>
    <col min="4" max="4" width="11.5703125" bestFit="1" customWidth="1"/>
    <col min="8" max="8" width="24.5703125" customWidth="1"/>
    <col min="9" max="9" width="27.28515625" customWidth="1"/>
    <col min="10" max="10" width="33.140625" style="56" customWidth="1"/>
    <col min="11" max="11" width="27.85546875" style="56" customWidth="1"/>
    <col min="12" max="17" width="9.140625" style="56"/>
    <col min="257" max="257" width="16" bestFit="1" customWidth="1"/>
    <col min="258" max="258" width="61" bestFit="1" customWidth="1"/>
    <col min="260" max="260" width="11.5703125" bestFit="1" customWidth="1"/>
    <col min="266" max="266" width="11.140625" bestFit="1" customWidth="1"/>
    <col min="267" max="267" width="56.85546875" bestFit="1" customWidth="1"/>
    <col min="513" max="513" width="16" bestFit="1" customWidth="1"/>
    <col min="514" max="514" width="61" bestFit="1" customWidth="1"/>
    <col min="516" max="516" width="11.5703125" bestFit="1" customWidth="1"/>
    <col min="522" max="522" width="11.140625" bestFit="1" customWidth="1"/>
    <col min="523" max="523" width="56.85546875" bestFit="1" customWidth="1"/>
    <col min="769" max="769" width="16" bestFit="1" customWidth="1"/>
    <col min="770" max="770" width="61" bestFit="1" customWidth="1"/>
    <col min="772" max="772" width="11.5703125" bestFit="1" customWidth="1"/>
    <col min="778" max="778" width="11.140625" bestFit="1" customWidth="1"/>
    <col min="779" max="779" width="56.85546875" bestFit="1" customWidth="1"/>
    <col min="1025" max="1025" width="16" bestFit="1" customWidth="1"/>
    <col min="1026" max="1026" width="61" bestFit="1" customWidth="1"/>
    <col min="1028" max="1028" width="11.5703125" bestFit="1" customWidth="1"/>
    <col min="1034" max="1034" width="11.140625" bestFit="1" customWidth="1"/>
    <col min="1035" max="1035" width="56.85546875" bestFit="1" customWidth="1"/>
    <col min="1281" max="1281" width="16" bestFit="1" customWidth="1"/>
    <col min="1282" max="1282" width="61" bestFit="1" customWidth="1"/>
    <col min="1284" max="1284" width="11.5703125" bestFit="1" customWidth="1"/>
    <col min="1290" max="1290" width="11.140625" bestFit="1" customWidth="1"/>
    <col min="1291" max="1291" width="56.85546875" bestFit="1" customWidth="1"/>
    <col min="1537" max="1537" width="16" bestFit="1" customWidth="1"/>
    <col min="1538" max="1538" width="61" bestFit="1" customWidth="1"/>
    <col min="1540" max="1540" width="11.5703125" bestFit="1" customWidth="1"/>
    <col min="1546" max="1546" width="11.140625" bestFit="1" customWidth="1"/>
    <col min="1547" max="1547" width="56.85546875" bestFit="1" customWidth="1"/>
    <col min="1793" max="1793" width="16" bestFit="1" customWidth="1"/>
    <col min="1794" max="1794" width="61" bestFit="1" customWidth="1"/>
    <col min="1796" max="1796" width="11.5703125" bestFit="1" customWidth="1"/>
    <col min="1802" max="1802" width="11.140625" bestFit="1" customWidth="1"/>
    <col min="1803" max="1803" width="56.85546875" bestFit="1" customWidth="1"/>
    <col min="2049" max="2049" width="16" bestFit="1" customWidth="1"/>
    <col min="2050" max="2050" width="61" bestFit="1" customWidth="1"/>
    <col min="2052" max="2052" width="11.5703125" bestFit="1" customWidth="1"/>
    <col min="2058" max="2058" width="11.140625" bestFit="1" customWidth="1"/>
    <col min="2059" max="2059" width="56.85546875" bestFit="1" customWidth="1"/>
    <col min="2305" max="2305" width="16" bestFit="1" customWidth="1"/>
    <col min="2306" max="2306" width="61" bestFit="1" customWidth="1"/>
    <col min="2308" max="2308" width="11.5703125" bestFit="1" customWidth="1"/>
    <col min="2314" max="2314" width="11.140625" bestFit="1" customWidth="1"/>
    <col min="2315" max="2315" width="56.85546875" bestFit="1" customWidth="1"/>
    <col min="2561" max="2561" width="16" bestFit="1" customWidth="1"/>
    <col min="2562" max="2562" width="61" bestFit="1" customWidth="1"/>
    <col min="2564" max="2564" width="11.5703125" bestFit="1" customWidth="1"/>
    <col min="2570" max="2570" width="11.140625" bestFit="1" customWidth="1"/>
    <col min="2571" max="2571" width="56.85546875" bestFit="1" customWidth="1"/>
    <col min="2817" max="2817" width="16" bestFit="1" customWidth="1"/>
    <col min="2818" max="2818" width="61" bestFit="1" customWidth="1"/>
    <col min="2820" max="2820" width="11.5703125" bestFit="1" customWidth="1"/>
    <col min="2826" max="2826" width="11.140625" bestFit="1" customWidth="1"/>
    <col min="2827" max="2827" width="56.85546875" bestFit="1" customWidth="1"/>
    <col min="3073" max="3073" width="16" bestFit="1" customWidth="1"/>
    <col min="3074" max="3074" width="61" bestFit="1" customWidth="1"/>
    <col min="3076" max="3076" width="11.5703125" bestFit="1" customWidth="1"/>
    <col min="3082" max="3082" width="11.140625" bestFit="1" customWidth="1"/>
    <col min="3083" max="3083" width="56.85546875" bestFit="1" customWidth="1"/>
    <col min="3329" max="3329" width="16" bestFit="1" customWidth="1"/>
    <col min="3330" max="3330" width="61" bestFit="1" customWidth="1"/>
    <col min="3332" max="3332" width="11.5703125" bestFit="1" customWidth="1"/>
    <col min="3338" max="3338" width="11.140625" bestFit="1" customWidth="1"/>
    <col min="3339" max="3339" width="56.85546875" bestFit="1" customWidth="1"/>
    <col min="3585" max="3585" width="16" bestFit="1" customWidth="1"/>
    <col min="3586" max="3586" width="61" bestFit="1" customWidth="1"/>
    <col min="3588" max="3588" width="11.5703125" bestFit="1" customWidth="1"/>
    <col min="3594" max="3594" width="11.140625" bestFit="1" customWidth="1"/>
    <col min="3595" max="3595" width="56.85546875" bestFit="1" customWidth="1"/>
    <col min="3841" max="3841" width="16" bestFit="1" customWidth="1"/>
    <col min="3842" max="3842" width="61" bestFit="1" customWidth="1"/>
    <col min="3844" max="3844" width="11.5703125" bestFit="1" customWidth="1"/>
    <col min="3850" max="3850" width="11.140625" bestFit="1" customWidth="1"/>
    <col min="3851" max="3851" width="56.85546875" bestFit="1" customWidth="1"/>
    <col min="4097" max="4097" width="16" bestFit="1" customWidth="1"/>
    <col min="4098" max="4098" width="61" bestFit="1" customWidth="1"/>
    <col min="4100" max="4100" width="11.5703125" bestFit="1" customWidth="1"/>
    <col min="4106" max="4106" width="11.140625" bestFit="1" customWidth="1"/>
    <col min="4107" max="4107" width="56.85546875" bestFit="1" customWidth="1"/>
    <col min="4353" max="4353" width="16" bestFit="1" customWidth="1"/>
    <col min="4354" max="4354" width="61" bestFit="1" customWidth="1"/>
    <col min="4356" max="4356" width="11.5703125" bestFit="1" customWidth="1"/>
    <col min="4362" max="4362" width="11.140625" bestFit="1" customWidth="1"/>
    <col min="4363" max="4363" width="56.85546875" bestFit="1" customWidth="1"/>
    <col min="4609" max="4609" width="16" bestFit="1" customWidth="1"/>
    <col min="4610" max="4610" width="61" bestFit="1" customWidth="1"/>
    <col min="4612" max="4612" width="11.5703125" bestFit="1" customWidth="1"/>
    <col min="4618" max="4618" width="11.140625" bestFit="1" customWidth="1"/>
    <col min="4619" max="4619" width="56.85546875" bestFit="1" customWidth="1"/>
    <col min="4865" max="4865" width="16" bestFit="1" customWidth="1"/>
    <col min="4866" max="4866" width="61" bestFit="1" customWidth="1"/>
    <col min="4868" max="4868" width="11.5703125" bestFit="1" customWidth="1"/>
    <col min="4874" max="4874" width="11.140625" bestFit="1" customWidth="1"/>
    <col min="4875" max="4875" width="56.85546875" bestFit="1" customWidth="1"/>
    <col min="5121" max="5121" width="16" bestFit="1" customWidth="1"/>
    <col min="5122" max="5122" width="61" bestFit="1" customWidth="1"/>
    <col min="5124" max="5124" width="11.5703125" bestFit="1" customWidth="1"/>
    <col min="5130" max="5130" width="11.140625" bestFit="1" customWidth="1"/>
    <col min="5131" max="5131" width="56.85546875" bestFit="1" customWidth="1"/>
    <col min="5377" max="5377" width="16" bestFit="1" customWidth="1"/>
    <col min="5378" max="5378" width="61" bestFit="1" customWidth="1"/>
    <col min="5380" max="5380" width="11.5703125" bestFit="1" customWidth="1"/>
    <col min="5386" max="5386" width="11.140625" bestFit="1" customWidth="1"/>
    <col min="5387" max="5387" width="56.85546875" bestFit="1" customWidth="1"/>
    <col min="5633" max="5633" width="16" bestFit="1" customWidth="1"/>
    <col min="5634" max="5634" width="61" bestFit="1" customWidth="1"/>
    <col min="5636" max="5636" width="11.5703125" bestFit="1" customWidth="1"/>
    <col min="5642" max="5642" width="11.140625" bestFit="1" customWidth="1"/>
    <col min="5643" max="5643" width="56.85546875" bestFit="1" customWidth="1"/>
    <col min="5889" max="5889" width="16" bestFit="1" customWidth="1"/>
    <col min="5890" max="5890" width="61" bestFit="1" customWidth="1"/>
    <col min="5892" max="5892" width="11.5703125" bestFit="1" customWidth="1"/>
    <col min="5898" max="5898" width="11.140625" bestFit="1" customWidth="1"/>
    <col min="5899" max="5899" width="56.85546875" bestFit="1" customWidth="1"/>
    <col min="6145" max="6145" width="16" bestFit="1" customWidth="1"/>
    <col min="6146" max="6146" width="61" bestFit="1" customWidth="1"/>
    <col min="6148" max="6148" width="11.5703125" bestFit="1" customWidth="1"/>
    <col min="6154" max="6154" width="11.140625" bestFit="1" customWidth="1"/>
    <col min="6155" max="6155" width="56.85546875" bestFit="1" customWidth="1"/>
    <col min="6401" max="6401" width="16" bestFit="1" customWidth="1"/>
    <col min="6402" max="6402" width="61" bestFit="1" customWidth="1"/>
    <col min="6404" max="6404" width="11.5703125" bestFit="1" customWidth="1"/>
    <col min="6410" max="6410" width="11.140625" bestFit="1" customWidth="1"/>
    <col min="6411" max="6411" width="56.85546875" bestFit="1" customWidth="1"/>
    <col min="6657" max="6657" width="16" bestFit="1" customWidth="1"/>
    <col min="6658" max="6658" width="61" bestFit="1" customWidth="1"/>
    <col min="6660" max="6660" width="11.5703125" bestFit="1" customWidth="1"/>
    <col min="6666" max="6666" width="11.140625" bestFit="1" customWidth="1"/>
    <col min="6667" max="6667" width="56.85546875" bestFit="1" customWidth="1"/>
    <col min="6913" max="6913" width="16" bestFit="1" customWidth="1"/>
    <col min="6914" max="6914" width="61" bestFit="1" customWidth="1"/>
    <col min="6916" max="6916" width="11.5703125" bestFit="1" customWidth="1"/>
    <col min="6922" max="6922" width="11.140625" bestFit="1" customWidth="1"/>
    <col min="6923" max="6923" width="56.85546875" bestFit="1" customWidth="1"/>
    <col min="7169" max="7169" width="16" bestFit="1" customWidth="1"/>
    <col min="7170" max="7170" width="61" bestFit="1" customWidth="1"/>
    <col min="7172" max="7172" width="11.5703125" bestFit="1" customWidth="1"/>
    <col min="7178" max="7178" width="11.140625" bestFit="1" customWidth="1"/>
    <col min="7179" max="7179" width="56.85546875" bestFit="1" customWidth="1"/>
    <col min="7425" max="7425" width="16" bestFit="1" customWidth="1"/>
    <col min="7426" max="7426" width="61" bestFit="1" customWidth="1"/>
    <col min="7428" max="7428" width="11.5703125" bestFit="1" customWidth="1"/>
    <col min="7434" max="7434" width="11.140625" bestFit="1" customWidth="1"/>
    <col min="7435" max="7435" width="56.85546875" bestFit="1" customWidth="1"/>
    <col min="7681" max="7681" width="16" bestFit="1" customWidth="1"/>
    <col min="7682" max="7682" width="61" bestFit="1" customWidth="1"/>
    <col min="7684" max="7684" width="11.5703125" bestFit="1" customWidth="1"/>
    <col min="7690" max="7690" width="11.140625" bestFit="1" customWidth="1"/>
    <col min="7691" max="7691" width="56.85546875" bestFit="1" customWidth="1"/>
    <col min="7937" max="7937" width="16" bestFit="1" customWidth="1"/>
    <col min="7938" max="7938" width="61" bestFit="1" customWidth="1"/>
    <col min="7940" max="7940" width="11.5703125" bestFit="1" customWidth="1"/>
    <col min="7946" max="7946" width="11.140625" bestFit="1" customWidth="1"/>
    <col min="7947" max="7947" width="56.85546875" bestFit="1" customWidth="1"/>
    <col min="8193" max="8193" width="16" bestFit="1" customWidth="1"/>
    <col min="8194" max="8194" width="61" bestFit="1" customWidth="1"/>
    <col min="8196" max="8196" width="11.5703125" bestFit="1" customWidth="1"/>
    <col min="8202" max="8202" width="11.140625" bestFit="1" customWidth="1"/>
    <col min="8203" max="8203" width="56.85546875" bestFit="1" customWidth="1"/>
    <col min="8449" max="8449" width="16" bestFit="1" customWidth="1"/>
    <col min="8450" max="8450" width="61" bestFit="1" customWidth="1"/>
    <col min="8452" max="8452" width="11.5703125" bestFit="1" customWidth="1"/>
    <col min="8458" max="8458" width="11.140625" bestFit="1" customWidth="1"/>
    <col min="8459" max="8459" width="56.85546875" bestFit="1" customWidth="1"/>
    <col min="8705" max="8705" width="16" bestFit="1" customWidth="1"/>
    <col min="8706" max="8706" width="61" bestFit="1" customWidth="1"/>
    <col min="8708" max="8708" width="11.5703125" bestFit="1" customWidth="1"/>
    <col min="8714" max="8714" width="11.140625" bestFit="1" customWidth="1"/>
    <col min="8715" max="8715" width="56.85546875" bestFit="1" customWidth="1"/>
    <col min="8961" max="8961" width="16" bestFit="1" customWidth="1"/>
    <col min="8962" max="8962" width="61" bestFit="1" customWidth="1"/>
    <col min="8964" max="8964" width="11.5703125" bestFit="1" customWidth="1"/>
    <col min="8970" max="8970" width="11.140625" bestFit="1" customWidth="1"/>
    <col min="8971" max="8971" width="56.85546875" bestFit="1" customWidth="1"/>
    <col min="9217" max="9217" width="16" bestFit="1" customWidth="1"/>
    <col min="9218" max="9218" width="61" bestFit="1" customWidth="1"/>
    <col min="9220" max="9220" width="11.5703125" bestFit="1" customWidth="1"/>
    <col min="9226" max="9226" width="11.140625" bestFit="1" customWidth="1"/>
    <col min="9227" max="9227" width="56.85546875" bestFit="1" customWidth="1"/>
    <col min="9473" max="9473" width="16" bestFit="1" customWidth="1"/>
    <col min="9474" max="9474" width="61" bestFit="1" customWidth="1"/>
    <col min="9476" max="9476" width="11.5703125" bestFit="1" customWidth="1"/>
    <col min="9482" max="9482" width="11.140625" bestFit="1" customWidth="1"/>
    <col min="9483" max="9483" width="56.85546875" bestFit="1" customWidth="1"/>
    <col min="9729" max="9729" width="16" bestFit="1" customWidth="1"/>
    <col min="9730" max="9730" width="61" bestFit="1" customWidth="1"/>
    <col min="9732" max="9732" width="11.5703125" bestFit="1" customWidth="1"/>
    <col min="9738" max="9738" width="11.140625" bestFit="1" customWidth="1"/>
    <col min="9739" max="9739" width="56.85546875" bestFit="1" customWidth="1"/>
    <col min="9985" max="9985" width="16" bestFit="1" customWidth="1"/>
    <col min="9986" max="9986" width="61" bestFit="1" customWidth="1"/>
    <col min="9988" max="9988" width="11.5703125" bestFit="1" customWidth="1"/>
    <col min="9994" max="9994" width="11.140625" bestFit="1" customWidth="1"/>
    <col min="9995" max="9995" width="56.85546875" bestFit="1" customWidth="1"/>
    <col min="10241" max="10241" width="16" bestFit="1" customWidth="1"/>
    <col min="10242" max="10242" width="61" bestFit="1" customWidth="1"/>
    <col min="10244" max="10244" width="11.5703125" bestFit="1" customWidth="1"/>
    <col min="10250" max="10250" width="11.140625" bestFit="1" customWidth="1"/>
    <col min="10251" max="10251" width="56.85546875" bestFit="1" customWidth="1"/>
    <col min="10497" max="10497" width="16" bestFit="1" customWidth="1"/>
    <col min="10498" max="10498" width="61" bestFit="1" customWidth="1"/>
    <col min="10500" max="10500" width="11.5703125" bestFit="1" customWidth="1"/>
    <col min="10506" max="10506" width="11.140625" bestFit="1" customWidth="1"/>
    <col min="10507" max="10507" width="56.85546875" bestFit="1" customWidth="1"/>
    <col min="10753" max="10753" width="16" bestFit="1" customWidth="1"/>
    <col min="10754" max="10754" width="61" bestFit="1" customWidth="1"/>
    <col min="10756" max="10756" width="11.5703125" bestFit="1" customWidth="1"/>
    <col min="10762" max="10762" width="11.140625" bestFit="1" customWidth="1"/>
    <col min="10763" max="10763" width="56.85546875" bestFit="1" customWidth="1"/>
    <col min="11009" max="11009" width="16" bestFit="1" customWidth="1"/>
    <col min="11010" max="11010" width="61" bestFit="1" customWidth="1"/>
    <col min="11012" max="11012" width="11.5703125" bestFit="1" customWidth="1"/>
    <col min="11018" max="11018" width="11.140625" bestFit="1" customWidth="1"/>
    <col min="11019" max="11019" width="56.85546875" bestFit="1" customWidth="1"/>
    <col min="11265" max="11265" width="16" bestFit="1" customWidth="1"/>
    <col min="11266" max="11266" width="61" bestFit="1" customWidth="1"/>
    <col min="11268" max="11268" width="11.5703125" bestFit="1" customWidth="1"/>
    <col min="11274" max="11274" width="11.140625" bestFit="1" customWidth="1"/>
    <col min="11275" max="11275" width="56.85546875" bestFit="1" customWidth="1"/>
    <col min="11521" max="11521" width="16" bestFit="1" customWidth="1"/>
    <col min="11522" max="11522" width="61" bestFit="1" customWidth="1"/>
    <col min="11524" max="11524" width="11.5703125" bestFit="1" customWidth="1"/>
    <col min="11530" max="11530" width="11.140625" bestFit="1" customWidth="1"/>
    <col min="11531" max="11531" width="56.85546875" bestFit="1" customWidth="1"/>
    <col min="11777" max="11777" width="16" bestFit="1" customWidth="1"/>
    <col min="11778" max="11778" width="61" bestFit="1" customWidth="1"/>
    <col min="11780" max="11780" width="11.5703125" bestFit="1" customWidth="1"/>
    <col min="11786" max="11786" width="11.140625" bestFit="1" customWidth="1"/>
    <col min="11787" max="11787" width="56.85546875" bestFit="1" customWidth="1"/>
    <col min="12033" max="12033" width="16" bestFit="1" customWidth="1"/>
    <col min="12034" max="12034" width="61" bestFit="1" customWidth="1"/>
    <col min="12036" max="12036" width="11.5703125" bestFit="1" customWidth="1"/>
    <col min="12042" max="12042" width="11.140625" bestFit="1" customWidth="1"/>
    <col min="12043" max="12043" width="56.85546875" bestFit="1" customWidth="1"/>
    <col min="12289" max="12289" width="16" bestFit="1" customWidth="1"/>
    <col min="12290" max="12290" width="61" bestFit="1" customWidth="1"/>
    <col min="12292" max="12292" width="11.5703125" bestFit="1" customWidth="1"/>
    <col min="12298" max="12298" width="11.140625" bestFit="1" customWidth="1"/>
    <col min="12299" max="12299" width="56.85546875" bestFit="1" customWidth="1"/>
    <col min="12545" max="12545" width="16" bestFit="1" customWidth="1"/>
    <col min="12546" max="12546" width="61" bestFit="1" customWidth="1"/>
    <col min="12548" max="12548" width="11.5703125" bestFit="1" customWidth="1"/>
    <col min="12554" max="12554" width="11.140625" bestFit="1" customWidth="1"/>
    <col min="12555" max="12555" width="56.85546875" bestFit="1" customWidth="1"/>
    <col min="12801" max="12801" width="16" bestFit="1" customWidth="1"/>
    <col min="12802" max="12802" width="61" bestFit="1" customWidth="1"/>
    <col min="12804" max="12804" width="11.5703125" bestFit="1" customWidth="1"/>
    <col min="12810" max="12810" width="11.140625" bestFit="1" customWidth="1"/>
    <col min="12811" max="12811" width="56.85546875" bestFit="1" customWidth="1"/>
    <col min="13057" max="13057" width="16" bestFit="1" customWidth="1"/>
    <col min="13058" max="13058" width="61" bestFit="1" customWidth="1"/>
    <col min="13060" max="13060" width="11.5703125" bestFit="1" customWidth="1"/>
    <col min="13066" max="13066" width="11.140625" bestFit="1" customWidth="1"/>
    <col min="13067" max="13067" width="56.85546875" bestFit="1" customWidth="1"/>
    <col min="13313" max="13313" width="16" bestFit="1" customWidth="1"/>
    <col min="13314" max="13314" width="61" bestFit="1" customWidth="1"/>
    <col min="13316" max="13316" width="11.5703125" bestFit="1" customWidth="1"/>
    <col min="13322" max="13322" width="11.140625" bestFit="1" customWidth="1"/>
    <col min="13323" max="13323" width="56.85546875" bestFit="1" customWidth="1"/>
    <col min="13569" max="13569" width="16" bestFit="1" customWidth="1"/>
    <col min="13570" max="13570" width="61" bestFit="1" customWidth="1"/>
    <col min="13572" max="13572" width="11.5703125" bestFit="1" customWidth="1"/>
    <col min="13578" max="13578" width="11.140625" bestFit="1" customWidth="1"/>
    <col min="13579" max="13579" width="56.85546875" bestFit="1" customWidth="1"/>
    <col min="13825" max="13825" width="16" bestFit="1" customWidth="1"/>
    <col min="13826" max="13826" width="61" bestFit="1" customWidth="1"/>
    <col min="13828" max="13828" width="11.5703125" bestFit="1" customWidth="1"/>
    <col min="13834" max="13834" width="11.140625" bestFit="1" customWidth="1"/>
    <col min="13835" max="13835" width="56.85546875" bestFit="1" customWidth="1"/>
    <col min="14081" max="14081" width="16" bestFit="1" customWidth="1"/>
    <col min="14082" max="14082" width="61" bestFit="1" customWidth="1"/>
    <col min="14084" max="14084" width="11.5703125" bestFit="1" customWidth="1"/>
    <col min="14090" max="14090" width="11.140625" bestFit="1" customWidth="1"/>
    <col min="14091" max="14091" width="56.85546875" bestFit="1" customWidth="1"/>
    <col min="14337" max="14337" width="16" bestFit="1" customWidth="1"/>
    <col min="14338" max="14338" width="61" bestFit="1" customWidth="1"/>
    <col min="14340" max="14340" width="11.5703125" bestFit="1" customWidth="1"/>
    <col min="14346" max="14346" width="11.140625" bestFit="1" customWidth="1"/>
    <col min="14347" max="14347" width="56.85546875" bestFit="1" customWidth="1"/>
    <col min="14593" max="14593" width="16" bestFit="1" customWidth="1"/>
    <col min="14594" max="14594" width="61" bestFit="1" customWidth="1"/>
    <col min="14596" max="14596" width="11.5703125" bestFit="1" customWidth="1"/>
    <col min="14602" max="14602" width="11.140625" bestFit="1" customWidth="1"/>
    <col min="14603" max="14603" width="56.85546875" bestFit="1" customWidth="1"/>
    <col min="14849" max="14849" width="16" bestFit="1" customWidth="1"/>
    <col min="14850" max="14850" width="61" bestFit="1" customWidth="1"/>
    <col min="14852" max="14852" width="11.5703125" bestFit="1" customWidth="1"/>
    <col min="14858" max="14858" width="11.140625" bestFit="1" customWidth="1"/>
    <col min="14859" max="14859" width="56.85546875" bestFit="1" customWidth="1"/>
    <col min="15105" max="15105" width="16" bestFit="1" customWidth="1"/>
    <col min="15106" max="15106" width="61" bestFit="1" customWidth="1"/>
    <col min="15108" max="15108" width="11.5703125" bestFit="1" customWidth="1"/>
    <col min="15114" max="15114" width="11.140625" bestFit="1" customWidth="1"/>
    <col min="15115" max="15115" width="56.85546875" bestFit="1" customWidth="1"/>
    <col min="15361" max="15361" width="16" bestFit="1" customWidth="1"/>
    <col min="15362" max="15362" width="61" bestFit="1" customWidth="1"/>
    <col min="15364" max="15364" width="11.5703125" bestFit="1" customWidth="1"/>
    <col min="15370" max="15370" width="11.140625" bestFit="1" customWidth="1"/>
    <col min="15371" max="15371" width="56.85546875" bestFit="1" customWidth="1"/>
    <col min="15617" max="15617" width="16" bestFit="1" customWidth="1"/>
    <col min="15618" max="15618" width="61" bestFit="1" customWidth="1"/>
    <col min="15620" max="15620" width="11.5703125" bestFit="1" customWidth="1"/>
    <col min="15626" max="15626" width="11.140625" bestFit="1" customWidth="1"/>
    <col min="15627" max="15627" width="56.85546875" bestFit="1" customWidth="1"/>
    <col min="15873" max="15873" width="16" bestFit="1" customWidth="1"/>
    <col min="15874" max="15874" width="61" bestFit="1" customWidth="1"/>
    <col min="15876" max="15876" width="11.5703125" bestFit="1" customWidth="1"/>
    <col min="15882" max="15882" width="11.140625" bestFit="1" customWidth="1"/>
    <col min="15883" max="15883" width="56.85546875" bestFit="1" customWidth="1"/>
    <col min="16129" max="16129" width="16" bestFit="1" customWidth="1"/>
    <col min="16130" max="16130" width="61" bestFit="1" customWidth="1"/>
    <col min="16132" max="16132" width="11.5703125" bestFit="1" customWidth="1"/>
    <col min="16138" max="16138" width="11.140625" bestFit="1" customWidth="1"/>
    <col min="16139" max="16139" width="56.85546875" bestFit="1" customWidth="1"/>
  </cols>
  <sheetData>
    <row r="1" spans="1:16" x14ac:dyDescent="0.25">
      <c r="C1" t="s">
        <v>244</v>
      </c>
      <c r="D1">
        <v>400</v>
      </c>
      <c r="E1" t="s">
        <v>227</v>
      </c>
      <c r="F1">
        <v>0.73</v>
      </c>
    </row>
    <row r="2" spans="1:16" x14ac:dyDescent="0.25">
      <c r="A2" s="54" t="s">
        <v>123</v>
      </c>
      <c r="B2" s="55"/>
      <c r="C2" s="201" t="s">
        <v>124</v>
      </c>
      <c r="D2" s="202"/>
      <c r="E2" s="202"/>
      <c r="F2" s="202"/>
      <c r="G2" s="203"/>
      <c r="H2" s="101" t="s">
        <v>236</v>
      </c>
      <c r="I2" s="100"/>
      <c r="J2" s="103"/>
      <c r="K2" s="103" t="s">
        <v>228</v>
      </c>
      <c r="L2" s="104" t="s">
        <v>237</v>
      </c>
      <c r="M2" s="92"/>
      <c r="N2" s="92"/>
      <c r="O2" s="92"/>
      <c r="P2" s="92"/>
    </row>
    <row r="3" spans="1:16" x14ac:dyDescent="0.25">
      <c r="A3" s="55" t="s">
        <v>125</v>
      </c>
      <c r="B3" s="55" t="s">
        <v>126</v>
      </c>
      <c r="C3" s="55" t="s">
        <v>127</v>
      </c>
      <c r="D3" s="55" t="s">
        <v>128</v>
      </c>
      <c r="E3" s="55" t="s">
        <v>129</v>
      </c>
      <c r="F3" s="55" t="s">
        <v>130</v>
      </c>
      <c r="G3" s="55" t="s">
        <v>131</v>
      </c>
      <c r="J3" s="103" t="s">
        <v>238</v>
      </c>
      <c r="K3" s="103">
        <v>1</v>
      </c>
      <c r="L3" s="103">
        <v>0</v>
      </c>
    </row>
    <row r="4" spans="1:16" x14ac:dyDescent="0.25">
      <c r="A4" s="55">
        <v>22</v>
      </c>
      <c r="B4" s="55" t="s">
        <v>132</v>
      </c>
      <c r="C4" s="55">
        <v>365</v>
      </c>
      <c r="D4" s="55">
        <v>148</v>
      </c>
      <c r="E4" s="55">
        <v>314</v>
      </c>
      <c r="F4" s="55">
        <v>280</v>
      </c>
      <c r="G4" s="55">
        <v>1107</v>
      </c>
      <c r="H4" s="100">
        <f>C15*D1*F1*365*$E$31*$I$32*$J$32*0.000001*0.001</f>
        <v>0.5582421356285715</v>
      </c>
      <c r="I4" t="s">
        <v>250</v>
      </c>
      <c r="J4" s="103" t="s">
        <v>239</v>
      </c>
      <c r="K4" s="103">
        <v>1</v>
      </c>
      <c r="L4" s="103">
        <v>0</v>
      </c>
    </row>
    <row r="5" spans="1:16" x14ac:dyDescent="0.25">
      <c r="A5" s="55"/>
      <c r="B5" s="55" t="s">
        <v>133</v>
      </c>
      <c r="C5" s="55">
        <v>45</v>
      </c>
      <c r="D5" s="55">
        <v>10</v>
      </c>
      <c r="E5" s="55">
        <v>45</v>
      </c>
      <c r="F5" s="55">
        <v>24</v>
      </c>
      <c r="G5" s="55">
        <v>124</v>
      </c>
      <c r="J5" s="103" t="s">
        <v>240</v>
      </c>
      <c r="K5" s="103">
        <v>1</v>
      </c>
      <c r="L5" s="103">
        <v>0</v>
      </c>
    </row>
    <row r="6" spans="1:16" x14ac:dyDescent="0.25">
      <c r="A6" s="55"/>
      <c r="B6" s="55" t="s">
        <v>134</v>
      </c>
      <c r="C6" s="57">
        <v>410</v>
      </c>
      <c r="D6" s="57">
        <v>158</v>
      </c>
      <c r="E6" s="57">
        <v>359</v>
      </c>
      <c r="F6" s="57">
        <v>304</v>
      </c>
      <c r="G6" s="61">
        <v>1231</v>
      </c>
      <c r="L6" s="102"/>
    </row>
    <row r="7" spans="1:16" x14ac:dyDescent="0.25">
      <c r="A7" s="55">
        <v>24</v>
      </c>
      <c r="B7" s="55" t="s">
        <v>135</v>
      </c>
      <c r="C7" s="55">
        <v>451</v>
      </c>
      <c r="D7" s="55">
        <v>192</v>
      </c>
      <c r="E7" s="55">
        <v>261</v>
      </c>
      <c r="F7" s="55">
        <v>185</v>
      </c>
      <c r="G7" s="55">
        <v>1089</v>
      </c>
      <c r="H7" s="105" t="s">
        <v>241</v>
      </c>
      <c r="I7" s="106"/>
    </row>
    <row r="8" spans="1:16" x14ac:dyDescent="0.25">
      <c r="A8" s="55"/>
      <c r="B8" s="55" t="s">
        <v>136</v>
      </c>
      <c r="C8" s="55">
        <v>183</v>
      </c>
      <c r="D8" s="55">
        <v>62</v>
      </c>
      <c r="E8" s="55">
        <v>89</v>
      </c>
      <c r="F8" s="55">
        <v>61</v>
      </c>
      <c r="G8" s="55">
        <v>395</v>
      </c>
      <c r="K8" s="56" t="s">
        <v>242</v>
      </c>
      <c r="L8" s="56" t="s">
        <v>243</v>
      </c>
      <c r="O8" s="56" t="s">
        <v>226</v>
      </c>
    </row>
    <row r="9" spans="1:16" x14ac:dyDescent="0.25">
      <c r="A9" s="55"/>
      <c r="B9" s="55" t="s">
        <v>137</v>
      </c>
      <c r="C9" s="55">
        <v>18</v>
      </c>
      <c r="D9" s="55">
        <v>15</v>
      </c>
      <c r="E9" s="55">
        <v>43</v>
      </c>
      <c r="F9" s="55">
        <v>47</v>
      </c>
      <c r="G9" s="55">
        <v>123</v>
      </c>
      <c r="H9" s="106">
        <f>H11+H12</f>
        <v>3.7866166721625003</v>
      </c>
      <c r="I9" t="s">
        <v>250</v>
      </c>
      <c r="J9" s="56" t="s">
        <v>238</v>
      </c>
      <c r="K9" s="56">
        <v>1</v>
      </c>
      <c r="L9" s="56">
        <v>0</v>
      </c>
      <c r="N9" s="56" t="s">
        <v>245</v>
      </c>
      <c r="O9" s="56">
        <v>75</v>
      </c>
    </row>
    <row r="10" spans="1:16" x14ac:dyDescent="0.25">
      <c r="A10" s="55"/>
      <c r="B10" s="55" t="s">
        <v>138</v>
      </c>
      <c r="C10" s="57">
        <v>652</v>
      </c>
      <c r="D10" s="57">
        <v>269</v>
      </c>
      <c r="E10" s="57">
        <v>393</v>
      </c>
      <c r="F10" s="57">
        <v>293</v>
      </c>
      <c r="G10" s="61">
        <v>1607</v>
      </c>
      <c r="J10" s="56" t="s">
        <v>239</v>
      </c>
      <c r="K10" s="56">
        <v>1</v>
      </c>
      <c r="L10" s="56">
        <v>0</v>
      </c>
      <c r="N10" s="56" t="s">
        <v>246</v>
      </c>
      <c r="O10" s="56">
        <v>150</v>
      </c>
    </row>
    <row r="11" spans="1:16" x14ac:dyDescent="0.25">
      <c r="A11" s="55">
        <v>25</v>
      </c>
      <c r="B11" s="55" t="s">
        <v>139</v>
      </c>
      <c r="C11" s="55">
        <v>1166</v>
      </c>
      <c r="D11" s="55">
        <v>357</v>
      </c>
      <c r="E11" s="55">
        <v>888</v>
      </c>
      <c r="F11" s="55">
        <v>1289</v>
      </c>
      <c r="G11" s="55">
        <v>3700</v>
      </c>
      <c r="H11">
        <f>F13*O12*F1*$K$14*$I$32*J32*365*0.001*0.000001</f>
        <v>3.3601834404285715</v>
      </c>
      <c r="I11" t="s">
        <v>243</v>
      </c>
      <c r="J11" s="56" t="s">
        <v>240</v>
      </c>
      <c r="K11" s="56">
        <v>1</v>
      </c>
      <c r="L11" s="56">
        <v>0</v>
      </c>
      <c r="N11" s="56" t="s">
        <v>247</v>
      </c>
      <c r="O11" s="56">
        <v>200</v>
      </c>
    </row>
    <row r="12" spans="1:16" x14ac:dyDescent="0.25">
      <c r="A12" s="55"/>
      <c r="B12" s="55" t="s">
        <v>140</v>
      </c>
      <c r="C12" s="55">
        <v>9</v>
      </c>
      <c r="D12" s="55">
        <v>7</v>
      </c>
      <c r="E12" s="55">
        <v>4</v>
      </c>
      <c r="F12" s="55">
        <v>2</v>
      </c>
      <c r="G12" s="55">
        <v>22</v>
      </c>
      <c r="H12">
        <f>((D15*O9)+(E15*O10)+((F11+F12+F10+F6)*O11))*F1*$E$31*$I$32*J32*365*0.001*0.000001</f>
        <v>0.42643323173392855</v>
      </c>
      <c r="I12" t="s">
        <v>242</v>
      </c>
      <c r="J12" s="102" t="s">
        <v>181</v>
      </c>
      <c r="K12" s="102">
        <v>1</v>
      </c>
      <c r="N12" s="102" t="s">
        <v>248</v>
      </c>
      <c r="O12" s="56">
        <v>500</v>
      </c>
    </row>
    <row r="13" spans="1:16" x14ac:dyDescent="0.25">
      <c r="A13" s="55"/>
      <c r="B13" s="55" t="s">
        <v>141</v>
      </c>
      <c r="C13" s="55"/>
      <c r="D13" s="55"/>
      <c r="E13" s="55"/>
      <c r="F13" s="55">
        <v>2693</v>
      </c>
      <c r="G13" s="55">
        <v>2693</v>
      </c>
    </row>
    <row r="14" spans="1:16" x14ac:dyDescent="0.25">
      <c r="A14" s="55"/>
      <c r="B14" s="55" t="s">
        <v>142</v>
      </c>
      <c r="C14" s="57">
        <v>1175</v>
      </c>
      <c r="D14" s="57">
        <v>364</v>
      </c>
      <c r="E14" s="57">
        <v>892</v>
      </c>
      <c r="F14" s="57">
        <v>3984</v>
      </c>
      <c r="G14" s="61">
        <v>6415</v>
      </c>
      <c r="J14" s="102" t="s">
        <v>249</v>
      </c>
      <c r="K14" s="102">
        <v>0.02</v>
      </c>
    </row>
    <row r="15" spans="1:16" x14ac:dyDescent="0.25">
      <c r="A15" s="57" t="s">
        <v>143</v>
      </c>
      <c r="B15" s="57"/>
      <c r="C15" s="57">
        <v>2237</v>
      </c>
      <c r="D15" s="57">
        <v>791</v>
      </c>
      <c r="E15" s="57">
        <v>1644</v>
      </c>
      <c r="F15" s="57">
        <v>4581</v>
      </c>
      <c r="G15" s="61">
        <v>9253</v>
      </c>
    </row>
    <row r="18" spans="1:17" x14ac:dyDescent="0.25">
      <c r="A18" s="54" t="s">
        <v>123</v>
      </c>
      <c r="B18" s="55"/>
      <c r="C18" s="201" t="s">
        <v>144</v>
      </c>
      <c r="D18" s="202"/>
      <c r="E18" s="202"/>
      <c r="F18" s="202"/>
      <c r="G18" s="203"/>
      <c r="L18" s="204"/>
      <c r="M18" s="204"/>
      <c r="N18" s="204"/>
      <c r="O18" s="204"/>
      <c r="P18" s="204"/>
      <c r="Q18" s="204"/>
    </row>
    <row r="19" spans="1:17" x14ac:dyDescent="0.25">
      <c r="A19" s="55" t="s">
        <v>125</v>
      </c>
      <c r="B19" s="55" t="s">
        <v>126</v>
      </c>
      <c r="C19" s="55" t="s">
        <v>145</v>
      </c>
      <c r="D19" s="55" t="s">
        <v>146</v>
      </c>
      <c r="E19" s="55" t="s">
        <v>147</v>
      </c>
      <c r="F19" s="55" t="s">
        <v>148</v>
      </c>
      <c r="G19" s="55" t="s">
        <v>131</v>
      </c>
      <c r="H19" s="97" t="s">
        <v>228</v>
      </c>
      <c r="I19" s="97" t="s">
        <v>229</v>
      </c>
      <c r="J19" s="97" t="s">
        <v>230</v>
      </c>
      <c r="K19" s="97" t="s">
        <v>231</v>
      </c>
    </row>
    <row r="20" spans="1:17" x14ac:dyDescent="0.25">
      <c r="A20" s="55">
        <v>22</v>
      </c>
      <c r="B20" s="55" t="s">
        <v>132</v>
      </c>
      <c r="C20" s="57">
        <v>13</v>
      </c>
      <c r="D20" s="57">
        <v>84</v>
      </c>
      <c r="E20" s="57">
        <v>179</v>
      </c>
      <c r="F20" s="57">
        <v>305</v>
      </c>
      <c r="G20" s="55">
        <v>581</v>
      </c>
      <c r="H20" s="98">
        <v>1</v>
      </c>
      <c r="I20" s="98">
        <v>0</v>
      </c>
      <c r="J20" s="98">
        <v>0</v>
      </c>
      <c r="K20" s="56">
        <f>SUM(H20:J20)</f>
        <v>1</v>
      </c>
    </row>
    <row r="21" spans="1:17" x14ac:dyDescent="0.25">
      <c r="A21" s="55">
        <v>24</v>
      </c>
      <c r="B21" s="55" t="s">
        <v>135</v>
      </c>
      <c r="C21" s="55">
        <v>37</v>
      </c>
      <c r="D21" s="55">
        <v>212</v>
      </c>
      <c r="E21" s="55">
        <v>489</v>
      </c>
      <c r="F21" s="55">
        <v>1816</v>
      </c>
      <c r="G21" s="55">
        <v>2554</v>
      </c>
    </row>
    <row r="22" spans="1:17" x14ac:dyDescent="0.25">
      <c r="A22" s="55"/>
      <c r="B22" s="55" t="s">
        <v>136</v>
      </c>
      <c r="C22" s="55">
        <v>6</v>
      </c>
      <c r="D22" s="55">
        <v>52</v>
      </c>
      <c r="E22" s="55">
        <v>54</v>
      </c>
      <c r="F22" s="55">
        <v>119</v>
      </c>
      <c r="G22" s="55">
        <v>231</v>
      </c>
    </row>
    <row r="23" spans="1:17" x14ac:dyDescent="0.25">
      <c r="A23" s="55"/>
      <c r="B23" s="55" t="s">
        <v>138</v>
      </c>
      <c r="C23" s="57">
        <v>43</v>
      </c>
      <c r="D23" s="57">
        <v>264</v>
      </c>
      <c r="E23" s="57">
        <v>543</v>
      </c>
      <c r="F23" s="57">
        <v>1935</v>
      </c>
      <c r="G23" s="55">
        <v>2785</v>
      </c>
      <c r="H23" s="98">
        <v>0.5</v>
      </c>
      <c r="I23" s="98">
        <v>0.25</v>
      </c>
      <c r="J23" s="98">
        <v>0.25</v>
      </c>
      <c r="K23" s="56">
        <f t="shared" ref="K23:K24" si="0">SUM(H23:J23)</f>
        <v>1</v>
      </c>
    </row>
    <row r="24" spans="1:17" x14ac:dyDescent="0.25">
      <c r="A24" s="55">
        <v>25</v>
      </c>
      <c r="B24" s="55" t="s">
        <v>139</v>
      </c>
      <c r="C24" s="57">
        <v>249</v>
      </c>
      <c r="D24" s="57">
        <v>1722</v>
      </c>
      <c r="E24" s="57">
        <v>3553</v>
      </c>
      <c r="F24" s="57">
        <v>6429</v>
      </c>
      <c r="G24" s="55">
        <v>11953</v>
      </c>
      <c r="H24" s="98">
        <v>0.5</v>
      </c>
      <c r="I24" s="98">
        <v>0.25</v>
      </c>
      <c r="J24" s="98">
        <v>0.25</v>
      </c>
      <c r="K24" s="56">
        <f t="shared" si="0"/>
        <v>1</v>
      </c>
    </row>
    <row r="25" spans="1:17" x14ac:dyDescent="0.25">
      <c r="A25" s="57" t="s">
        <v>143</v>
      </c>
      <c r="B25" s="57"/>
      <c r="C25" s="57">
        <v>305</v>
      </c>
      <c r="D25" s="57">
        <v>2070</v>
      </c>
      <c r="E25" s="57">
        <v>4275</v>
      </c>
      <c r="F25" s="57">
        <v>8669</v>
      </c>
      <c r="G25" s="57">
        <v>15319</v>
      </c>
    </row>
    <row r="26" spans="1:17" x14ac:dyDescent="0.25">
      <c r="C26" s="101" t="s">
        <v>235</v>
      </c>
      <c r="D26" s="101"/>
    </row>
    <row r="27" spans="1:17" x14ac:dyDescent="0.25">
      <c r="B27" s="95" t="s">
        <v>226</v>
      </c>
      <c r="C27" s="96">
        <v>150</v>
      </c>
      <c r="D27" s="96">
        <v>125</v>
      </c>
      <c r="E27" s="96">
        <v>13</v>
      </c>
      <c r="F27" s="96">
        <v>90</v>
      </c>
    </row>
    <row r="28" spans="1:17" x14ac:dyDescent="0.25">
      <c r="B28" s="95" t="s">
        <v>227</v>
      </c>
      <c r="C28" s="96">
        <v>0.55000000000000004</v>
      </c>
      <c r="D28" s="96">
        <v>0.55000000000000004</v>
      </c>
      <c r="E28" s="96">
        <v>1.57</v>
      </c>
      <c r="F28" s="96">
        <v>1.57</v>
      </c>
    </row>
    <row r="30" spans="1:17" x14ac:dyDescent="0.25">
      <c r="B30" t="s">
        <v>232</v>
      </c>
      <c r="C30">
        <f>((((C23*$C$27*$C$28)+(D23*$D$27*$D$28)+(E23*$E$27*$E$28)+(F23*$F$27*$F$28))*I23)+(((C24*$C$27*$C$28)+(D24*$D$27*$D$28)+(E24*$E$27*$E$28)+(F24*$F$27*$F$28))*I24))*365/1000</f>
        <v>130127.980475</v>
      </c>
      <c r="E30">
        <v>0.01</v>
      </c>
      <c r="G30">
        <f>C30*E30</f>
        <v>1301.27980475</v>
      </c>
    </row>
    <row r="31" spans="1:17" x14ac:dyDescent="0.25">
      <c r="B31" t="s">
        <v>233</v>
      </c>
      <c r="C31">
        <f>((((C20*$C$27*$C$28)+(D20*$D$27*$D$28)+(E20*$E$27*$E$28)+(F20*$F$27*$F$28))*H20)+(((C23*$C$27*$C$28)+(D23*$D$27*$D$28)+(E23*$E$27*$E$28)+(F23*$F$27*$F$28))*H23)+(((C24*$C$27*$C$28)+(D24*$D$27*$D$28)+(E24*$E$27*$E$28)+(F24*$F$27*$F$28))*H24))*365/1000</f>
        <v>279819.00830000004</v>
      </c>
      <c r="E31">
        <v>5.0000000000000001E-3</v>
      </c>
      <c r="G31">
        <f>C31*E31</f>
        <v>1399.0950415000002</v>
      </c>
    </row>
    <row r="32" spans="1:17" x14ac:dyDescent="0.25">
      <c r="B32" t="s">
        <v>234</v>
      </c>
      <c r="C32">
        <f>C30+C31</f>
        <v>409946.98877500003</v>
      </c>
      <c r="I32">
        <v>298</v>
      </c>
      <c r="J32" s="56">
        <f>44/28</f>
        <v>1.5714285714285714</v>
      </c>
    </row>
    <row r="34" spans="3:3" x14ac:dyDescent="0.25">
      <c r="C34">
        <f>(G30+G31)*I32*J32/1000000</f>
        <v>1.2645469637153572</v>
      </c>
    </row>
  </sheetData>
  <mergeCells count="3">
    <mergeCell ref="C2:G2"/>
    <mergeCell ref="C18:G18"/>
    <mergeCell ref="L18:Q1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0" zoomScale="90" zoomScaleNormal="90" workbookViewId="0">
      <selection activeCell="H4" sqref="H4"/>
    </sheetView>
  </sheetViews>
  <sheetFormatPr defaultRowHeight="15" x14ac:dyDescent="0.25"/>
  <cols>
    <col min="1" max="1" width="11.140625" bestFit="1" customWidth="1"/>
    <col min="2" max="2" width="56.85546875" bestFit="1" customWidth="1"/>
    <col min="4" max="4" width="11.5703125" bestFit="1" customWidth="1"/>
    <col min="9" max="9" width="19.42578125" customWidth="1"/>
    <col min="10" max="10" width="16" customWidth="1"/>
    <col min="11" max="11" width="11.140625" customWidth="1"/>
    <col min="257" max="257" width="11.140625" bestFit="1" customWidth="1"/>
    <col min="258" max="258" width="56.85546875" bestFit="1" customWidth="1"/>
    <col min="260" max="260" width="11.5703125" bestFit="1" customWidth="1"/>
    <col min="513" max="513" width="11.140625" bestFit="1" customWidth="1"/>
    <col min="514" max="514" width="56.85546875" bestFit="1" customWidth="1"/>
    <col min="516" max="516" width="11.5703125" bestFit="1" customWidth="1"/>
    <col min="769" max="769" width="11.140625" bestFit="1" customWidth="1"/>
    <col min="770" max="770" width="56.85546875" bestFit="1" customWidth="1"/>
    <col min="772" max="772" width="11.5703125" bestFit="1" customWidth="1"/>
    <col min="1025" max="1025" width="11.140625" bestFit="1" customWidth="1"/>
    <col min="1026" max="1026" width="56.85546875" bestFit="1" customWidth="1"/>
    <col min="1028" max="1028" width="11.5703125" bestFit="1" customWidth="1"/>
    <col min="1281" max="1281" width="11.140625" bestFit="1" customWidth="1"/>
    <col min="1282" max="1282" width="56.85546875" bestFit="1" customWidth="1"/>
    <col min="1284" max="1284" width="11.5703125" bestFit="1" customWidth="1"/>
    <col min="1537" max="1537" width="11.140625" bestFit="1" customWidth="1"/>
    <col min="1538" max="1538" width="56.85546875" bestFit="1" customWidth="1"/>
    <col min="1540" max="1540" width="11.5703125" bestFit="1" customWidth="1"/>
    <col min="1793" max="1793" width="11.140625" bestFit="1" customWidth="1"/>
    <col min="1794" max="1794" width="56.85546875" bestFit="1" customWidth="1"/>
    <col min="1796" max="1796" width="11.5703125" bestFit="1" customWidth="1"/>
    <col min="2049" max="2049" width="11.140625" bestFit="1" customWidth="1"/>
    <col min="2050" max="2050" width="56.85546875" bestFit="1" customWidth="1"/>
    <col min="2052" max="2052" width="11.5703125" bestFit="1" customWidth="1"/>
    <col min="2305" max="2305" width="11.140625" bestFit="1" customWidth="1"/>
    <col min="2306" max="2306" width="56.85546875" bestFit="1" customWidth="1"/>
    <col min="2308" max="2308" width="11.5703125" bestFit="1" customWidth="1"/>
    <col min="2561" max="2561" width="11.140625" bestFit="1" customWidth="1"/>
    <col min="2562" max="2562" width="56.85546875" bestFit="1" customWidth="1"/>
    <col min="2564" max="2564" width="11.5703125" bestFit="1" customWidth="1"/>
    <col min="2817" max="2817" width="11.140625" bestFit="1" customWidth="1"/>
    <col min="2818" max="2818" width="56.85546875" bestFit="1" customWidth="1"/>
    <col min="2820" max="2820" width="11.5703125" bestFit="1" customWidth="1"/>
    <col min="3073" max="3073" width="11.140625" bestFit="1" customWidth="1"/>
    <col min="3074" max="3074" width="56.85546875" bestFit="1" customWidth="1"/>
    <col min="3076" max="3076" width="11.5703125" bestFit="1" customWidth="1"/>
    <col min="3329" max="3329" width="11.140625" bestFit="1" customWidth="1"/>
    <col min="3330" max="3330" width="56.85546875" bestFit="1" customWidth="1"/>
    <col min="3332" max="3332" width="11.5703125" bestFit="1" customWidth="1"/>
    <col min="3585" max="3585" width="11.140625" bestFit="1" customWidth="1"/>
    <col min="3586" max="3586" width="56.85546875" bestFit="1" customWidth="1"/>
    <col min="3588" max="3588" width="11.5703125" bestFit="1" customWidth="1"/>
    <col min="3841" max="3841" width="11.140625" bestFit="1" customWidth="1"/>
    <col min="3842" max="3842" width="56.85546875" bestFit="1" customWidth="1"/>
    <col min="3844" max="3844" width="11.5703125" bestFit="1" customWidth="1"/>
    <col min="4097" max="4097" width="11.140625" bestFit="1" customWidth="1"/>
    <col min="4098" max="4098" width="56.85546875" bestFit="1" customWidth="1"/>
    <col min="4100" max="4100" width="11.5703125" bestFit="1" customWidth="1"/>
    <col min="4353" max="4353" width="11.140625" bestFit="1" customWidth="1"/>
    <col min="4354" max="4354" width="56.85546875" bestFit="1" customWidth="1"/>
    <col min="4356" max="4356" width="11.5703125" bestFit="1" customWidth="1"/>
    <col min="4609" max="4609" width="11.140625" bestFit="1" customWidth="1"/>
    <col min="4610" max="4610" width="56.85546875" bestFit="1" customWidth="1"/>
    <col min="4612" max="4612" width="11.5703125" bestFit="1" customWidth="1"/>
    <col min="4865" max="4865" width="11.140625" bestFit="1" customWidth="1"/>
    <col min="4866" max="4866" width="56.85546875" bestFit="1" customWidth="1"/>
    <col min="4868" max="4868" width="11.5703125" bestFit="1" customWidth="1"/>
    <col min="5121" max="5121" width="11.140625" bestFit="1" customWidth="1"/>
    <col min="5122" max="5122" width="56.85546875" bestFit="1" customWidth="1"/>
    <col min="5124" max="5124" width="11.5703125" bestFit="1" customWidth="1"/>
    <col min="5377" max="5377" width="11.140625" bestFit="1" customWidth="1"/>
    <col min="5378" max="5378" width="56.85546875" bestFit="1" customWidth="1"/>
    <col min="5380" max="5380" width="11.5703125" bestFit="1" customWidth="1"/>
    <col min="5633" max="5633" width="11.140625" bestFit="1" customWidth="1"/>
    <col min="5634" max="5634" width="56.85546875" bestFit="1" customWidth="1"/>
    <col min="5636" max="5636" width="11.5703125" bestFit="1" customWidth="1"/>
    <col min="5889" max="5889" width="11.140625" bestFit="1" customWidth="1"/>
    <col min="5890" max="5890" width="56.85546875" bestFit="1" customWidth="1"/>
    <col min="5892" max="5892" width="11.5703125" bestFit="1" customWidth="1"/>
    <col min="6145" max="6145" width="11.140625" bestFit="1" customWidth="1"/>
    <col min="6146" max="6146" width="56.85546875" bestFit="1" customWidth="1"/>
    <col min="6148" max="6148" width="11.5703125" bestFit="1" customWidth="1"/>
    <col min="6401" max="6401" width="11.140625" bestFit="1" customWidth="1"/>
    <col min="6402" max="6402" width="56.85546875" bestFit="1" customWidth="1"/>
    <col min="6404" max="6404" width="11.5703125" bestFit="1" customWidth="1"/>
    <col min="6657" max="6657" width="11.140625" bestFit="1" customWidth="1"/>
    <col min="6658" max="6658" width="56.85546875" bestFit="1" customWidth="1"/>
    <col min="6660" max="6660" width="11.5703125" bestFit="1" customWidth="1"/>
    <col min="6913" max="6913" width="11.140625" bestFit="1" customWidth="1"/>
    <col min="6914" max="6914" width="56.85546875" bestFit="1" customWidth="1"/>
    <col min="6916" max="6916" width="11.5703125" bestFit="1" customWidth="1"/>
    <col min="7169" max="7169" width="11.140625" bestFit="1" customWidth="1"/>
    <col min="7170" max="7170" width="56.85546875" bestFit="1" customWidth="1"/>
    <col min="7172" max="7172" width="11.5703125" bestFit="1" customWidth="1"/>
    <col min="7425" max="7425" width="11.140625" bestFit="1" customWidth="1"/>
    <col min="7426" max="7426" width="56.85546875" bestFit="1" customWidth="1"/>
    <col min="7428" max="7428" width="11.5703125" bestFit="1" customWidth="1"/>
    <col min="7681" max="7681" width="11.140625" bestFit="1" customWidth="1"/>
    <col min="7682" max="7682" width="56.85546875" bestFit="1" customWidth="1"/>
    <col min="7684" max="7684" width="11.5703125" bestFit="1" customWidth="1"/>
    <col min="7937" max="7937" width="11.140625" bestFit="1" customWidth="1"/>
    <col min="7938" max="7938" width="56.85546875" bestFit="1" customWidth="1"/>
    <col min="7940" max="7940" width="11.5703125" bestFit="1" customWidth="1"/>
    <col min="8193" max="8193" width="11.140625" bestFit="1" customWidth="1"/>
    <col min="8194" max="8194" width="56.85546875" bestFit="1" customWidth="1"/>
    <col min="8196" max="8196" width="11.5703125" bestFit="1" customWidth="1"/>
    <col min="8449" max="8449" width="11.140625" bestFit="1" customWidth="1"/>
    <col min="8450" max="8450" width="56.85546875" bestFit="1" customWidth="1"/>
    <col min="8452" max="8452" width="11.5703125" bestFit="1" customWidth="1"/>
    <col min="8705" max="8705" width="11.140625" bestFit="1" customWidth="1"/>
    <col min="8706" max="8706" width="56.85546875" bestFit="1" customWidth="1"/>
    <col min="8708" max="8708" width="11.5703125" bestFit="1" customWidth="1"/>
    <col min="8961" max="8961" width="11.140625" bestFit="1" customWidth="1"/>
    <col min="8962" max="8962" width="56.85546875" bestFit="1" customWidth="1"/>
    <col min="8964" max="8964" width="11.5703125" bestFit="1" customWidth="1"/>
    <col min="9217" max="9217" width="11.140625" bestFit="1" customWidth="1"/>
    <col min="9218" max="9218" width="56.85546875" bestFit="1" customWidth="1"/>
    <col min="9220" max="9220" width="11.5703125" bestFit="1" customWidth="1"/>
    <col min="9473" max="9473" width="11.140625" bestFit="1" customWidth="1"/>
    <col min="9474" max="9474" width="56.85546875" bestFit="1" customWidth="1"/>
    <col min="9476" max="9476" width="11.5703125" bestFit="1" customWidth="1"/>
    <col min="9729" max="9729" width="11.140625" bestFit="1" customWidth="1"/>
    <col min="9730" max="9730" width="56.85546875" bestFit="1" customWidth="1"/>
    <col min="9732" max="9732" width="11.5703125" bestFit="1" customWidth="1"/>
    <col min="9985" max="9985" width="11.140625" bestFit="1" customWidth="1"/>
    <col min="9986" max="9986" width="56.85546875" bestFit="1" customWidth="1"/>
    <col min="9988" max="9988" width="11.5703125" bestFit="1" customWidth="1"/>
    <col min="10241" max="10241" width="11.140625" bestFit="1" customWidth="1"/>
    <col min="10242" max="10242" width="56.85546875" bestFit="1" customWidth="1"/>
    <col min="10244" max="10244" width="11.5703125" bestFit="1" customWidth="1"/>
    <col min="10497" max="10497" width="11.140625" bestFit="1" customWidth="1"/>
    <col min="10498" max="10498" width="56.85546875" bestFit="1" customWidth="1"/>
    <col min="10500" max="10500" width="11.5703125" bestFit="1" customWidth="1"/>
    <col min="10753" max="10753" width="11.140625" bestFit="1" customWidth="1"/>
    <col min="10754" max="10754" width="56.85546875" bestFit="1" customWidth="1"/>
    <col min="10756" max="10756" width="11.5703125" bestFit="1" customWidth="1"/>
    <col min="11009" max="11009" width="11.140625" bestFit="1" customWidth="1"/>
    <col min="11010" max="11010" width="56.85546875" bestFit="1" customWidth="1"/>
    <col min="11012" max="11012" width="11.5703125" bestFit="1" customWidth="1"/>
    <col min="11265" max="11265" width="11.140625" bestFit="1" customWidth="1"/>
    <col min="11266" max="11266" width="56.85546875" bestFit="1" customWidth="1"/>
    <col min="11268" max="11268" width="11.5703125" bestFit="1" customWidth="1"/>
    <col min="11521" max="11521" width="11.140625" bestFit="1" customWidth="1"/>
    <col min="11522" max="11522" width="56.85546875" bestFit="1" customWidth="1"/>
    <col min="11524" max="11524" width="11.5703125" bestFit="1" customWidth="1"/>
    <col min="11777" max="11777" width="11.140625" bestFit="1" customWidth="1"/>
    <col min="11778" max="11778" width="56.85546875" bestFit="1" customWidth="1"/>
    <col min="11780" max="11780" width="11.5703125" bestFit="1" customWidth="1"/>
    <col min="12033" max="12033" width="11.140625" bestFit="1" customWidth="1"/>
    <col min="12034" max="12034" width="56.85546875" bestFit="1" customWidth="1"/>
    <col min="12036" max="12036" width="11.5703125" bestFit="1" customWidth="1"/>
    <col min="12289" max="12289" width="11.140625" bestFit="1" customWidth="1"/>
    <col min="12290" max="12290" width="56.85546875" bestFit="1" customWidth="1"/>
    <col min="12292" max="12292" width="11.5703125" bestFit="1" customWidth="1"/>
    <col min="12545" max="12545" width="11.140625" bestFit="1" customWidth="1"/>
    <col min="12546" max="12546" width="56.85546875" bestFit="1" customWidth="1"/>
    <col min="12548" max="12548" width="11.5703125" bestFit="1" customWidth="1"/>
    <col min="12801" max="12801" width="11.140625" bestFit="1" customWidth="1"/>
    <col min="12802" max="12802" width="56.85546875" bestFit="1" customWidth="1"/>
    <col min="12804" max="12804" width="11.5703125" bestFit="1" customWidth="1"/>
    <col min="13057" max="13057" width="11.140625" bestFit="1" customWidth="1"/>
    <col min="13058" max="13058" width="56.85546875" bestFit="1" customWidth="1"/>
    <col min="13060" max="13060" width="11.5703125" bestFit="1" customWidth="1"/>
    <col min="13313" max="13313" width="11.140625" bestFit="1" customWidth="1"/>
    <col min="13314" max="13314" width="56.85546875" bestFit="1" customWidth="1"/>
    <col min="13316" max="13316" width="11.5703125" bestFit="1" customWidth="1"/>
    <col min="13569" max="13569" width="11.140625" bestFit="1" customWidth="1"/>
    <col min="13570" max="13570" width="56.85546875" bestFit="1" customWidth="1"/>
    <col min="13572" max="13572" width="11.5703125" bestFit="1" customWidth="1"/>
    <col min="13825" max="13825" width="11.140625" bestFit="1" customWidth="1"/>
    <col min="13826" max="13826" width="56.85546875" bestFit="1" customWidth="1"/>
    <col min="13828" max="13828" width="11.5703125" bestFit="1" customWidth="1"/>
    <col min="14081" max="14081" width="11.140625" bestFit="1" customWidth="1"/>
    <col min="14082" max="14082" width="56.85546875" bestFit="1" customWidth="1"/>
    <col min="14084" max="14084" width="11.5703125" bestFit="1" customWidth="1"/>
    <col min="14337" max="14337" width="11.140625" bestFit="1" customWidth="1"/>
    <col min="14338" max="14338" width="56.85546875" bestFit="1" customWidth="1"/>
    <col min="14340" max="14340" width="11.5703125" bestFit="1" customWidth="1"/>
    <col min="14593" max="14593" width="11.140625" bestFit="1" customWidth="1"/>
    <col min="14594" max="14594" width="56.85546875" bestFit="1" customWidth="1"/>
    <col min="14596" max="14596" width="11.5703125" bestFit="1" customWidth="1"/>
    <col min="14849" max="14849" width="11.140625" bestFit="1" customWidth="1"/>
    <col min="14850" max="14850" width="56.85546875" bestFit="1" customWidth="1"/>
    <col min="14852" max="14852" width="11.5703125" bestFit="1" customWidth="1"/>
    <col min="15105" max="15105" width="11.140625" bestFit="1" customWidth="1"/>
    <col min="15106" max="15106" width="56.85546875" bestFit="1" customWidth="1"/>
    <col min="15108" max="15108" width="11.5703125" bestFit="1" customWidth="1"/>
    <col min="15361" max="15361" width="11.140625" bestFit="1" customWidth="1"/>
    <col min="15362" max="15362" width="56.85546875" bestFit="1" customWidth="1"/>
    <col min="15364" max="15364" width="11.5703125" bestFit="1" customWidth="1"/>
    <col min="15617" max="15617" width="11.140625" bestFit="1" customWidth="1"/>
    <col min="15618" max="15618" width="56.85546875" bestFit="1" customWidth="1"/>
    <col min="15620" max="15620" width="11.5703125" bestFit="1" customWidth="1"/>
    <col min="15873" max="15873" width="11.140625" bestFit="1" customWidth="1"/>
    <col min="15874" max="15874" width="56.85546875" bestFit="1" customWidth="1"/>
    <col min="15876" max="15876" width="11.5703125" bestFit="1" customWidth="1"/>
    <col min="16129" max="16129" width="11.140625" bestFit="1" customWidth="1"/>
    <col min="16130" max="16130" width="56.85546875" bestFit="1" customWidth="1"/>
    <col min="16132" max="16132" width="11.5703125" bestFit="1" customWidth="1"/>
  </cols>
  <sheetData>
    <row r="1" spans="1:15" x14ac:dyDescent="0.25">
      <c r="C1" t="s">
        <v>226</v>
      </c>
      <c r="D1">
        <v>400</v>
      </c>
      <c r="E1" t="s">
        <v>227</v>
      </c>
      <c r="F1">
        <v>0.73</v>
      </c>
    </row>
    <row r="2" spans="1:15" x14ac:dyDescent="0.25">
      <c r="A2" s="54" t="s">
        <v>149</v>
      </c>
      <c r="B2" s="55"/>
      <c r="C2" s="201" t="s">
        <v>124</v>
      </c>
      <c r="D2" s="202"/>
      <c r="E2" s="202"/>
      <c r="F2" s="202"/>
      <c r="G2" s="203"/>
      <c r="H2" s="100" t="s">
        <v>236</v>
      </c>
      <c r="I2" s="100"/>
      <c r="K2" t="s">
        <v>228</v>
      </c>
      <c r="L2" t="s">
        <v>237</v>
      </c>
    </row>
    <row r="3" spans="1:15" x14ac:dyDescent="0.25">
      <c r="A3" s="55" t="s">
        <v>125</v>
      </c>
      <c r="B3" s="55" t="s">
        <v>126</v>
      </c>
      <c r="C3" s="55" t="s">
        <v>127</v>
      </c>
      <c r="D3" s="55" t="s">
        <v>128</v>
      </c>
      <c r="E3" s="55" t="s">
        <v>129</v>
      </c>
      <c r="F3" s="55" t="s">
        <v>130</v>
      </c>
      <c r="G3" s="55" t="s">
        <v>131</v>
      </c>
      <c r="J3" t="s">
        <v>238</v>
      </c>
      <c r="K3">
        <v>1</v>
      </c>
      <c r="L3">
        <v>0</v>
      </c>
    </row>
    <row r="4" spans="1:15" x14ac:dyDescent="0.25">
      <c r="A4" s="55">
        <v>22</v>
      </c>
      <c r="B4" s="55" t="s">
        <v>132</v>
      </c>
      <c r="C4" s="55">
        <v>381</v>
      </c>
      <c r="D4" s="55">
        <v>58</v>
      </c>
      <c r="E4" s="55">
        <v>315</v>
      </c>
      <c r="F4" s="55">
        <v>335</v>
      </c>
      <c r="G4" s="55">
        <v>1089</v>
      </c>
      <c r="H4" s="100">
        <f>C15*D1*F1*365*$E$31*$I$32*$J$32*0.000001*0.001</f>
        <v>0.53977547579999996</v>
      </c>
      <c r="I4" s="100" t="s">
        <v>250</v>
      </c>
      <c r="J4" t="s">
        <v>239</v>
      </c>
      <c r="K4">
        <v>1</v>
      </c>
      <c r="L4">
        <v>0</v>
      </c>
    </row>
    <row r="5" spans="1:15" x14ac:dyDescent="0.25">
      <c r="A5" s="55"/>
      <c r="B5" s="55" t="s">
        <v>133</v>
      </c>
      <c r="C5" s="55">
        <v>42</v>
      </c>
      <c r="D5" s="55">
        <v>13</v>
      </c>
      <c r="E5" s="55">
        <v>34</v>
      </c>
      <c r="F5" s="55">
        <v>22</v>
      </c>
      <c r="G5" s="55">
        <v>111</v>
      </c>
      <c r="J5" t="s">
        <v>240</v>
      </c>
      <c r="K5">
        <v>1</v>
      </c>
      <c r="L5">
        <v>0</v>
      </c>
    </row>
    <row r="6" spans="1:15" x14ac:dyDescent="0.25">
      <c r="A6" s="55"/>
      <c r="B6" s="55" t="s">
        <v>134</v>
      </c>
      <c r="C6" s="57">
        <v>423</v>
      </c>
      <c r="D6" s="57">
        <v>71</v>
      </c>
      <c r="E6" s="57">
        <v>349</v>
      </c>
      <c r="F6" s="57">
        <v>357</v>
      </c>
      <c r="G6" s="55">
        <v>1200</v>
      </c>
    </row>
    <row r="7" spans="1:15" x14ac:dyDescent="0.25">
      <c r="A7" s="55">
        <v>24</v>
      </c>
      <c r="B7" s="55" t="s">
        <v>135</v>
      </c>
      <c r="C7" s="55">
        <v>513</v>
      </c>
      <c r="D7" s="55">
        <v>201</v>
      </c>
      <c r="E7" s="55">
        <v>353</v>
      </c>
      <c r="F7" s="55">
        <v>260</v>
      </c>
      <c r="G7" s="55">
        <v>1327</v>
      </c>
      <c r="H7" s="105" t="s">
        <v>241</v>
      </c>
      <c r="I7" s="105"/>
    </row>
    <row r="8" spans="1:15" x14ac:dyDescent="0.25">
      <c r="A8" s="55"/>
      <c r="B8" s="55" t="s">
        <v>136</v>
      </c>
      <c r="C8" s="55">
        <v>95</v>
      </c>
      <c r="D8" s="55">
        <v>37</v>
      </c>
      <c r="E8" s="55">
        <v>78</v>
      </c>
      <c r="F8" s="55">
        <v>70</v>
      </c>
      <c r="G8" s="55">
        <v>280</v>
      </c>
      <c r="K8" t="s">
        <v>242</v>
      </c>
      <c r="L8" t="s">
        <v>243</v>
      </c>
      <c r="O8" t="s">
        <v>226</v>
      </c>
    </row>
    <row r="9" spans="1:15" x14ac:dyDescent="0.25">
      <c r="A9" s="55"/>
      <c r="B9" s="55" t="s">
        <v>137</v>
      </c>
      <c r="C9" s="55">
        <v>21</v>
      </c>
      <c r="D9" s="55">
        <v>15</v>
      </c>
      <c r="E9" s="55">
        <v>32</v>
      </c>
      <c r="F9" s="55">
        <v>17</v>
      </c>
      <c r="G9" s="55">
        <v>85</v>
      </c>
      <c r="H9" s="106">
        <f>H11+H12</f>
        <v>2.8724546232839288</v>
      </c>
      <c r="I9" s="106" t="s">
        <v>250</v>
      </c>
      <c r="J9" t="s">
        <v>238</v>
      </c>
      <c r="K9">
        <v>1</v>
      </c>
      <c r="L9">
        <v>0</v>
      </c>
      <c r="N9" t="s">
        <v>245</v>
      </c>
      <c r="O9">
        <v>75</v>
      </c>
    </row>
    <row r="10" spans="1:15" x14ac:dyDescent="0.25">
      <c r="A10" s="55"/>
      <c r="B10" s="55" t="s">
        <v>138</v>
      </c>
      <c r="C10" s="57">
        <v>629</v>
      </c>
      <c r="D10" s="57">
        <v>253</v>
      </c>
      <c r="E10" s="57">
        <v>463</v>
      </c>
      <c r="F10" s="57">
        <v>347</v>
      </c>
      <c r="G10" s="55">
        <v>1692</v>
      </c>
      <c r="J10" t="s">
        <v>239</v>
      </c>
      <c r="K10">
        <v>1</v>
      </c>
      <c r="L10">
        <v>0</v>
      </c>
      <c r="N10" t="s">
        <v>246</v>
      </c>
      <c r="O10">
        <v>150</v>
      </c>
    </row>
    <row r="11" spans="1:15" x14ac:dyDescent="0.25">
      <c r="A11" s="55">
        <v>25</v>
      </c>
      <c r="B11" s="55" t="s">
        <v>139</v>
      </c>
      <c r="C11" s="55">
        <v>1077</v>
      </c>
      <c r="D11" s="55">
        <v>355</v>
      </c>
      <c r="E11" s="55">
        <v>922</v>
      </c>
      <c r="F11" s="55">
        <v>1770</v>
      </c>
      <c r="G11" s="55">
        <v>4124</v>
      </c>
      <c r="H11">
        <f>F13*O12*F1*$K$14*$I$32*J32*365*0.001*0.000001</f>
        <v>2.3669766010000002</v>
      </c>
      <c r="I11" t="s">
        <v>243</v>
      </c>
      <c r="J11" t="s">
        <v>240</v>
      </c>
      <c r="K11">
        <v>1</v>
      </c>
      <c r="L11">
        <v>0</v>
      </c>
      <c r="N11" t="s">
        <v>247</v>
      </c>
      <c r="O11">
        <v>200</v>
      </c>
    </row>
    <row r="12" spans="1:15" x14ac:dyDescent="0.25">
      <c r="A12" s="55"/>
      <c r="B12" s="55" t="s">
        <v>140</v>
      </c>
      <c r="C12" s="55">
        <v>34</v>
      </c>
      <c r="D12" s="55">
        <v>6</v>
      </c>
      <c r="E12" s="55">
        <v>21</v>
      </c>
      <c r="F12" s="55">
        <v>4</v>
      </c>
      <c r="G12" s="55">
        <v>65</v>
      </c>
      <c r="H12">
        <f>((D15*O9)+(E15*O10)+((F11+F12+F10+F6)*O11))*F1*$E$31*$I$32*J32*365*0.001*0.000001</f>
        <v>0.50547802228392857</v>
      </c>
      <c r="I12" t="s">
        <v>242</v>
      </c>
      <c r="J12" t="s">
        <v>181</v>
      </c>
      <c r="K12">
        <v>1</v>
      </c>
      <c r="N12" t="s">
        <v>248</v>
      </c>
      <c r="O12">
        <v>500</v>
      </c>
    </row>
    <row r="13" spans="1:15" x14ac:dyDescent="0.25">
      <c r="A13" s="55"/>
      <c r="B13" s="55" t="s">
        <v>141</v>
      </c>
      <c r="C13" s="55"/>
      <c r="D13" s="55"/>
      <c r="E13" s="55"/>
      <c r="F13" s="55">
        <v>1897</v>
      </c>
      <c r="G13" s="55">
        <v>1897</v>
      </c>
    </row>
    <row r="14" spans="1:15" x14ac:dyDescent="0.25">
      <c r="A14" s="55"/>
      <c r="B14" s="55" t="s">
        <v>142</v>
      </c>
      <c r="C14" s="57">
        <v>1111</v>
      </c>
      <c r="D14" s="57">
        <v>361</v>
      </c>
      <c r="E14" s="57">
        <v>943</v>
      </c>
      <c r="F14" s="57">
        <v>3671</v>
      </c>
      <c r="G14" s="55">
        <v>6086</v>
      </c>
      <c r="J14" t="s">
        <v>249</v>
      </c>
      <c r="K14">
        <v>0.02</v>
      </c>
    </row>
    <row r="15" spans="1:15" x14ac:dyDescent="0.25">
      <c r="A15" s="57" t="s">
        <v>143</v>
      </c>
      <c r="B15" s="57"/>
      <c r="C15" s="57">
        <v>2163</v>
      </c>
      <c r="D15" s="57">
        <v>685</v>
      </c>
      <c r="E15" s="57">
        <v>1755</v>
      </c>
      <c r="F15" s="57">
        <v>4375</v>
      </c>
      <c r="G15" s="57">
        <v>8978</v>
      </c>
    </row>
    <row r="18" spans="1:11" x14ac:dyDescent="0.25">
      <c r="A18" s="54" t="s">
        <v>149</v>
      </c>
      <c r="B18" s="55"/>
      <c r="C18" s="201" t="s">
        <v>144</v>
      </c>
      <c r="D18" s="202"/>
      <c r="E18" s="202"/>
      <c r="F18" s="202"/>
      <c r="G18" s="203"/>
    </row>
    <row r="19" spans="1:11" x14ac:dyDescent="0.25">
      <c r="A19" s="55" t="s">
        <v>125</v>
      </c>
      <c r="B19" s="55" t="s">
        <v>126</v>
      </c>
      <c r="C19" s="55" t="s">
        <v>145</v>
      </c>
      <c r="D19" s="55" t="s">
        <v>146</v>
      </c>
      <c r="E19" s="55" t="s">
        <v>147</v>
      </c>
      <c r="F19" s="55" t="s">
        <v>148</v>
      </c>
      <c r="G19" s="55" t="s">
        <v>131</v>
      </c>
      <c r="H19" t="s">
        <v>228</v>
      </c>
      <c r="I19" t="s">
        <v>229</v>
      </c>
      <c r="J19" t="s">
        <v>230</v>
      </c>
      <c r="K19" t="s">
        <v>231</v>
      </c>
    </row>
    <row r="20" spans="1:11" x14ac:dyDescent="0.25">
      <c r="A20" s="55">
        <v>22</v>
      </c>
      <c r="B20" s="55" t="s">
        <v>132</v>
      </c>
      <c r="C20" s="57">
        <v>33</v>
      </c>
      <c r="D20" s="57">
        <v>127</v>
      </c>
      <c r="E20" s="57">
        <v>258</v>
      </c>
      <c r="F20" s="57">
        <v>241</v>
      </c>
      <c r="G20" s="55">
        <v>659</v>
      </c>
      <c r="H20">
        <v>1</v>
      </c>
      <c r="I20">
        <v>0</v>
      </c>
      <c r="J20">
        <v>0</v>
      </c>
      <c r="K20">
        <f>SUM(H20:J20)</f>
        <v>1</v>
      </c>
    </row>
    <row r="21" spans="1:11" x14ac:dyDescent="0.25">
      <c r="A21" s="55">
        <v>24</v>
      </c>
      <c r="B21" s="55" t="s">
        <v>135</v>
      </c>
      <c r="C21" s="55">
        <v>46</v>
      </c>
      <c r="D21" s="55">
        <v>271</v>
      </c>
      <c r="E21" s="55">
        <v>517</v>
      </c>
      <c r="F21" s="55">
        <v>1967</v>
      </c>
      <c r="G21" s="55">
        <v>2801</v>
      </c>
    </row>
    <row r="22" spans="1:11" x14ac:dyDescent="0.25">
      <c r="A22" s="55"/>
      <c r="B22" s="55" t="s">
        <v>136</v>
      </c>
      <c r="C22" s="55">
        <v>6</v>
      </c>
      <c r="D22" s="55">
        <v>48</v>
      </c>
      <c r="E22" s="55">
        <v>51</v>
      </c>
      <c r="F22" s="55">
        <v>85</v>
      </c>
      <c r="G22" s="55">
        <v>190</v>
      </c>
    </row>
    <row r="23" spans="1:11" x14ac:dyDescent="0.25">
      <c r="A23" s="55"/>
      <c r="B23" s="55" t="s">
        <v>138</v>
      </c>
      <c r="C23" s="57">
        <v>52</v>
      </c>
      <c r="D23" s="57">
        <v>319</v>
      </c>
      <c r="E23" s="57">
        <v>568</v>
      </c>
      <c r="F23" s="57">
        <v>2052</v>
      </c>
      <c r="G23" s="55">
        <v>2991</v>
      </c>
      <c r="H23">
        <v>0.5</v>
      </c>
      <c r="I23">
        <v>0.25</v>
      </c>
      <c r="J23">
        <v>0.25</v>
      </c>
      <c r="K23">
        <f t="shared" ref="K23:K24" si="0">SUM(H23:J23)</f>
        <v>1</v>
      </c>
    </row>
    <row r="24" spans="1:11" x14ac:dyDescent="0.25">
      <c r="A24" s="55">
        <v>25</v>
      </c>
      <c r="B24" s="55" t="s">
        <v>139</v>
      </c>
      <c r="C24" s="57">
        <v>286</v>
      </c>
      <c r="D24" s="57">
        <v>1957</v>
      </c>
      <c r="E24" s="57">
        <v>4195</v>
      </c>
      <c r="F24" s="57">
        <v>7325</v>
      </c>
      <c r="G24" s="55">
        <v>13763</v>
      </c>
      <c r="H24">
        <v>0.5</v>
      </c>
      <c r="I24">
        <v>0.25</v>
      </c>
      <c r="J24">
        <v>0.25</v>
      </c>
      <c r="K24">
        <f t="shared" si="0"/>
        <v>1</v>
      </c>
    </row>
    <row r="25" spans="1:11" x14ac:dyDescent="0.25">
      <c r="A25" s="57" t="s">
        <v>143</v>
      </c>
      <c r="B25" s="57"/>
      <c r="C25" s="57">
        <v>371</v>
      </c>
      <c r="D25" s="57">
        <v>2403</v>
      </c>
      <c r="E25" s="57">
        <v>5021</v>
      </c>
      <c r="F25" s="57">
        <v>9618</v>
      </c>
      <c r="G25" s="57">
        <v>17413</v>
      </c>
    </row>
    <row r="27" spans="1:11" x14ac:dyDescent="0.25">
      <c r="B27" s="95" t="s">
        <v>226</v>
      </c>
      <c r="C27" s="96">
        <v>150</v>
      </c>
      <c r="D27" s="96">
        <v>125</v>
      </c>
      <c r="E27" s="96">
        <v>13</v>
      </c>
      <c r="F27" s="96">
        <v>90</v>
      </c>
    </row>
    <row r="28" spans="1:11" x14ac:dyDescent="0.25">
      <c r="B28" s="95" t="s">
        <v>227</v>
      </c>
      <c r="C28" s="96">
        <v>0.55000000000000004</v>
      </c>
      <c r="D28" s="96">
        <v>0.55000000000000004</v>
      </c>
      <c r="E28" s="96">
        <v>1.57</v>
      </c>
      <c r="F28" s="96">
        <v>1.57</v>
      </c>
    </row>
    <row r="30" spans="1:11" x14ac:dyDescent="0.25">
      <c r="B30" t="s">
        <v>232</v>
      </c>
      <c r="C30">
        <f>((((C23*$C$27*$C$28)+(D23*$D$27*$D$28)+(E23*$E$27*$E$28)+(F23*$F$27*$F$28))*I23)+(((C24*$C$27*$C$28)+(D24*$D$27*$D$28)+(E24*$E$27*$E$28)+(F24*$F$27*$F$28))*I24))*365/1000</f>
        <v>146597.04236249998</v>
      </c>
      <c r="E30" s="96">
        <v>0.01</v>
      </c>
      <c r="G30">
        <f>C30*E30</f>
        <v>1465.9704236249997</v>
      </c>
    </row>
    <row r="31" spans="1:11" x14ac:dyDescent="0.25">
      <c r="B31" t="s">
        <v>233</v>
      </c>
      <c r="C31">
        <f>((((C20*$C$27*$C$28)+(D20*$D$27*$D$28)+(E20*$E$27*$E$28)+(F20*$F$27*$F$28))*H20)+(((C23*$C$27*$C$28)+(D23*$D$27*$D$28)+(E23*$E$27*$E$28)+(F23*$F$27*$F$28))*H23)+(((C24*$C$27*$C$28)+(D24*$D$27*$D$28)+(E24*$E$27*$E$28)+(F24*$F$27*$F$28))*H24))*365/1000</f>
        <v>311726.16767499998</v>
      </c>
      <c r="E31" s="96">
        <v>5.0000000000000001E-3</v>
      </c>
      <c r="G31">
        <f>C31*E31</f>
        <v>1558.6308383749999</v>
      </c>
    </row>
    <row r="32" spans="1:11" x14ac:dyDescent="0.25">
      <c r="B32" t="s">
        <v>234</v>
      </c>
      <c r="C32">
        <f>C30+C31</f>
        <v>458323.21003749996</v>
      </c>
      <c r="I32">
        <v>298</v>
      </c>
      <c r="J32">
        <f>44/28</f>
        <v>1.5714285714285714</v>
      </c>
    </row>
    <row r="34" spans="3:3" x14ac:dyDescent="0.25">
      <c r="C34">
        <f>(G30+G31)*I32*J32/1000000</f>
        <v>1.4163775624051427</v>
      </c>
    </row>
  </sheetData>
  <mergeCells count="2">
    <mergeCell ref="C2:G2"/>
    <mergeCell ref="C18:G1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workbookViewId="0">
      <selection activeCell="H7" sqref="H7:O14"/>
    </sheetView>
  </sheetViews>
  <sheetFormatPr defaultRowHeight="15" x14ac:dyDescent="0.25"/>
  <cols>
    <col min="1" max="1" width="11.140625" bestFit="1" customWidth="1"/>
    <col min="2" max="2" width="56.85546875" bestFit="1" customWidth="1"/>
    <col min="3" max="3" width="7" bestFit="1" customWidth="1"/>
    <col min="4" max="4" width="11.5703125" bestFit="1" customWidth="1"/>
    <col min="8" max="8" width="14" customWidth="1"/>
    <col min="9" max="9" width="13.140625" customWidth="1"/>
    <col min="10" max="10" width="6" customWidth="1"/>
    <col min="257" max="257" width="11.140625" bestFit="1" customWidth="1"/>
    <col min="258" max="258" width="56.85546875" bestFit="1" customWidth="1"/>
    <col min="259" max="259" width="6.28515625" bestFit="1" customWidth="1"/>
    <col min="260" max="260" width="11.5703125" bestFit="1" customWidth="1"/>
    <col min="513" max="513" width="11.140625" bestFit="1" customWidth="1"/>
    <col min="514" max="514" width="56.85546875" bestFit="1" customWidth="1"/>
    <col min="515" max="515" width="6.28515625" bestFit="1" customWidth="1"/>
    <col min="516" max="516" width="11.5703125" bestFit="1" customWidth="1"/>
    <col min="769" max="769" width="11.140625" bestFit="1" customWidth="1"/>
    <col min="770" max="770" width="56.85546875" bestFit="1" customWidth="1"/>
    <col min="771" max="771" width="6.28515625" bestFit="1" customWidth="1"/>
    <col min="772" max="772" width="11.5703125" bestFit="1" customWidth="1"/>
    <col min="1025" max="1025" width="11.140625" bestFit="1" customWidth="1"/>
    <col min="1026" max="1026" width="56.85546875" bestFit="1" customWidth="1"/>
    <col min="1027" max="1027" width="6.28515625" bestFit="1" customWidth="1"/>
    <col min="1028" max="1028" width="11.5703125" bestFit="1" customWidth="1"/>
    <col min="1281" max="1281" width="11.140625" bestFit="1" customWidth="1"/>
    <col min="1282" max="1282" width="56.85546875" bestFit="1" customWidth="1"/>
    <col min="1283" max="1283" width="6.28515625" bestFit="1" customWidth="1"/>
    <col min="1284" max="1284" width="11.5703125" bestFit="1" customWidth="1"/>
    <col min="1537" max="1537" width="11.140625" bestFit="1" customWidth="1"/>
    <col min="1538" max="1538" width="56.85546875" bestFit="1" customWidth="1"/>
    <col min="1539" max="1539" width="6.28515625" bestFit="1" customWidth="1"/>
    <col min="1540" max="1540" width="11.5703125" bestFit="1" customWidth="1"/>
    <col min="1793" max="1793" width="11.140625" bestFit="1" customWidth="1"/>
    <col min="1794" max="1794" width="56.85546875" bestFit="1" customWidth="1"/>
    <col min="1795" max="1795" width="6.28515625" bestFit="1" customWidth="1"/>
    <col min="1796" max="1796" width="11.5703125" bestFit="1" customWidth="1"/>
    <col min="2049" max="2049" width="11.140625" bestFit="1" customWidth="1"/>
    <col min="2050" max="2050" width="56.85546875" bestFit="1" customWidth="1"/>
    <col min="2051" max="2051" width="6.28515625" bestFit="1" customWidth="1"/>
    <col min="2052" max="2052" width="11.5703125" bestFit="1" customWidth="1"/>
    <col min="2305" max="2305" width="11.140625" bestFit="1" customWidth="1"/>
    <col min="2306" max="2306" width="56.85546875" bestFit="1" customWidth="1"/>
    <col min="2307" max="2307" width="6.28515625" bestFit="1" customWidth="1"/>
    <col min="2308" max="2308" width="11.5703125" bestFit="1" customWidth="1"/>
    <col min="2561" max="2561" width="11.140625" bestFit="1" customWidth="1"/>
    <col min="2562" max="2562" width="56.85546875" bestFit="1" customWidth="1"/>
    <col min="2563" max="2563" width="6.28515625" bestFit="1" customWidth="1"/>
    <col min="2564" max="2564" width="11.5703125" bestFit="1" customWidth="1"/>
    <col min="2817" max="2817" width="11.140625" bestFit="1" customWidth="1"/>
    <col min="2818" max="2818" width="56.85546875" bestFit="1" customWidth="1"/>
    <col min="2819" max="2819" width="6.28515625" bestFit="1" customWidth="1"/>
    <col min="2820" max="2820" width="11.5703125" bestFit="1" customWidth="1"/>
    <col min="3073" max="3073" width="11.140625" bestFit="1" customWidth="1"/>
    <col min="3074" max="3074" width="56.85546875" bestFit="1" customWidth="1"/>
    <col min="3075" max="3075" width="6.28515625" bestFit="1" customWidth="1"/>
    <col min="3076" max="3076" width="11.5703125" bestFit="1" customWidth="1"/>
    <col min="3329" max="3329" width="11.140625" bestFit="1" customWidth="1"/>
    <col min="3330" max="3330" width="56.85546875" bestFit="1" customWidth="1"/>
    <col min="3331" max="3331" width="6.28515625" bestFit="1" customWidth="1"/>
    <col min="3332" max="3332" width="11.5703125" bestFit="1" customWidth="1"/>
    <col min="3585" max="3585" width="11.140625" bestFit="1" customWidth="1"/>
    <col min="3586" max="3586" width="56.85546875" bestFit="1" customWidth="1"/>
    <col min="3587" max="3587" width="6.28515625" bestFit="1" customWidth="1"/>
    <col min="3588" max="3588" width="11.5703125" bestFit="1" customWidth="1"/>
    <col min="3841" max="3841" width="11.140625" bestFit="1" customWidth="1"/>
    <col min="3842" max="3842" width="56.85546875" bestFit="1" customWidth="1"/>
    <col min="3843" max="3843" width="6.28515625" bestFit="1" customWidth="1"/>
    <col min="3844" max="3844" width="11.5703125" bestFit="1" customWidth="1"/>
    <col min="4097" max="4097" width="11.140625" bestFit="1" customWidth="1"/>
    <col min="4098" max="4098" width="56.85546875" bestFit="1" customWidth="1"/>
    <col min="4099" max="4099" width="6.28515625" bestFit="1" customWidth="1"/>
    <col min="4100" max="4100" width="11.5703125" bestFit="1" customWidth="1"/>
    <col min="4353" max="4353" width="11.140625" bestFit="1" customWidth="1"/>
    <col min="4354" max="4354" width="56.85546875" bestFit="1" customWidth="1"/>
    <col min="4355" max="4355" width="6.28515625" bestFit="1" customWidth="1"/>
    <col min="4356" max="4356" width="11.5703125" bestFit="1" customWidth="1"/>
    <col min="4609" max="4609" width="11.140625" bestFit="1" customWidth="1"/>
    <col min="4610" max="4610" width="56.85546875" bestFit="1" customWidth="1"/>
    <col min="4611" max="4611" width="6.28515625" bestFit="1" customWidth="1"/>
    <col min="4612" max="4612" width="11.5703125" bestFit="1" customWidth="1"/>
    <col min="4865" max="4865" width="11.140625" bestFit="1" customWidth="1"/>
    <col min="4866" max="4866" width="56.85546875" bestFit="1" customWidth="1"/>
    <col min="4867" max="4867" width="6.28515625" bestFit="1" customWidth="1"/>
    <col min="4868" max="4868" width="11.5703125" bestFit="1" customWidth="1"/>
    <col min="5121" max="5121" width="11.140625" bestFit="1" customWidth="1"/>
    <col min="5122" max="5122" width="56.85546875" bestFit="1" customWidth="1"/>
    <col min="5123" max="5123" width="6.28515625" bestFit="1" customWidth="1"/>
    <col min="5124" max="5124" width="11.5703125" bestFit="1" customWidth="1"/>
    <col min="5377" max="5377" width="11.140625" bestFit="1" customWidth="1"/>
    <col min="5378" max="5378" width="56.85546875" bestFit="1" customWidth="1"/>
    <col min="5379" max="5379" width="6.28515625" bestFit="1" customWidth="1"/>
    <col min="5380" max="5380" width="11.5703125" bestFit="1" customWidth="1"/>
    <col min="5633" max="5633" width="11.140625" bestFit="1" customWidth="1"/>
    <col min="5634" max="5634" width="56.85546875" bestFit="1" customWidth="1"/>
    <col min="5635" max="5635" width="6.28515625" bestFit="1" customWidth="1"/>
    <col min="5636" max="5636" width="11.5703125" bestFit="1" customWidth="1"/>
    <col min="5889" max="5889" width="11.140625" bestFit="1" customWidth="1"/>
    <col min="5890" max="5890" width="56.85546875" bestFit="1" customWidth="1"/>
    <col min="5891" max="5891" width="6.28515625" bestFit="1" customWidth="1"/>
    <col min="5892" max="5892" width="11.5703125" bestFit="1" customWidth="1"/>
    <col min="6145" max="6145" width="11.140625" bestFit="1" customWidth="1"/>
    <col min="6146" max="6146" width="56.85546875" bestFit="1" customWidth="1"/>
    <col min="6147" max="6147" width="6.28515625" bestFit="1" customWidth="1"/>
    <col min="6148" max="6148" width="11.5703125" bestFit="1" customWidth="1"/>
    <col min="6401" max="6401" width="11.140625" bestFit="1" customWidth="1"/>
    <col min="6402" max="6402" width="56.85546875" bestFit="1" customWidth="1"/>
    <col min="6403" max="6403" width="6.28515625" bestFit="1" customWidth="1"/>
    <col min="6404" max="6404" width="11.5703125" bestFit="1" customWidth="1"/>
    <col min="6657" max="6657" width="11.140625" bestFit="1" customWidth="1"/>
    <col min="6658" max="6658" width="56.85546875" bestFit="1" customWidth="1"/>
    <col min="6659" max="6659" width="6.28515625" bestFit="1" customWidth="1"/>
    <col min="6660" max="6660" width="11.5703125" bestFit="1" customWidth="1"/>
    <col min="6913" max="6913" width="11.140625" bestFit="1" customWidth="1"/>
    <col min="6914" max="6914" width="56.85546875" bestFit="1" customWidth="1"/>
    <col min="6915" max="6915" width="6.28515625" bestFit="1" customWidth="1"/>
    <col min="6916" max="6916" width="11.5703125" bestFit="1" customWidth="1"/>
    <col min="7169" max="7169" width="11.140625" bestFit="1" customWidth="1"/>
    <col min="7170" max="7170" width="56.85546875" bestFit="1" customWidth="1"/>
    <col min="7171" max="7171" width="6.28515625" bestFit="1" customWidth="1"/>
    <col min="7172" max="7172" width="11.5703125" bestFit="1" customWidth="1"/>
    <col min="7425" max="7425" width="11.140625" bestFit="1" customWidth="1"/>
    <col min="7426" max="7426" width="56.85546875" bestFit="1" customWidth="1"/>
    <col min="7427" max="7427" width="6.28515625" bestFit="1" customWidth="1"/>
    <col min="7428" max="7428" width="11.5703125" bestFit="1" customWidth="1"/>
    <col min="7681" max="7681" width="11.140625" bestFit="1" customWidth="1"/>
    <col min="7682" max="7682" width="56.85546875" bestFit="1" customWidth="1"/>
    <col min="7683" max="7683" width="6.28515625" bestFit="1" customWidth="1"/>
    <col min="7684" max="7684" width="11.5703125" bestFit="1" customWidth="1"/>
    <col min="7937" max="7937" width="11.140625" bestFit="1" customWidth="1"/>
    <col min="7938" max="7938" width="56.85546875" bestFit="1" customWidth="1"/>
    <col min="7939" max="7939" width="6.28515625" bestFit="1" customWidth="1"/>
    <col min="7940" max="7940" width="11.5703125" bestFit="1" customWidth="1"/>
    <col min="8193" max="8193" width="11.140625" bestFit="1" customWidth="1"/>
    <col min="8194" max="8194" width="56.85546875" bestFit="1" customWidth="1"/>
    <col min="8195" max="8195" width="6.28515625" bestFit="1" customWidth="1"/>
    <col min="8196" max="8196" width="11.5703125" bestFit="1" customWidth="1"/>
    <col min="8449" max="8449" width="11.140625" bestFit="1" customWidth="1"/>
    <col min="8450" max="8450" width="56.85546875" bestFit="1" customWidth="1"/>
    <col min="8451" max="8451" width="6.28515625" bestFit="1" customWidth="1"/>
    <col min="8452" max="8452" width="11.5703125" bestFit="1" customWidth="1"/>
    <col min="8705" max="8705" width="11.140625" bestFit="1" customWidth="1"/>
    <col min="8706" max="8706" width="56.85546875" bestFit="1" customWidth="1"/>
    <col min="8707" max="8707" width="6.28515625" bestFit="1" customWidth="1"/>
    <col min="8708" max="8708" width="11.5703125" bestFit="1" customWidth="1"/>
    <col min="8961" max="8961" width="11.140625" bestFit="1" customWidth="1"/>
    <col min="8962" max="8962" width="56.85546875" bestFit="1" customWidth="1"/>
    <col min="8963" max="8963" width="6.28515625" bestFit="1" customWidth="1"/>
    <col min="8964" max="8964" width="11.5703125" bestFit="1" customWidth="1"/>
    <col min="9217" max="9217" width="11.140625" bestFit="1" customWidth="1"/>
    <col min="9218" max="9218" width="56.85546875" bestFit="1" customWidth="1"/>
    <col min="9219" max="9219" width="6.28515625" bestFit="1" customWidth="1"/>
    <col min="9220" max="9220" width="11.5703125" bestFit="1" customWidth="1"/>
    <col min="9473" max="9473" width="11.140625" bestFit="1" customWidth="1"/>
    <col min="9474" max="9474" width="56.85546875" bestFit="1" customWidth="1"/>
    <col min="9475" max="9475" width="6.28515625" bestFit="1" customWidth="1"/>
    <col min="9476" max="9476" width="11.5703125" bestFit="1" customWidth="1"/>
    <col min="9729" max="9729" width="11.140625" bestFit="1" customWidth="1"/>
    <col min="9730" max="9730" width="56.85546875" bestFit="1" customWidth="1"/>
    <col min="9731" max="9731" width="6.28515625" bestFit="1" customWidth="1"/>
    <col min="9732" max="9732" width="11.5703125" bestFit="1" customWidth="1"/>
    <col min="9985" max="9985" width="11.140625" bestFit="1" customWidth="1"/>
    <col min="9986" max="9986" width="56.85546875" bestFit="1" customWidth="1"/>
    <col min="9987" max="9987" width="6.28515625" bestFit="1" customWidth="1"/>
    <col min="9988" max="9988" width="11.5703125" bestFit="1" customWidth="1"/>
    <col min="10241" max="10241" width="11.140625" bestFit="1" customWidth="1"/>
    <col min="10242" max="10242" width="56.85546875" bestFit="1" customWidth="1"/>
    <col min="10243" max="10243" width="6.28515625" bestFit="1" customWidth="1"/>
    <col min="10244" max="10244" width="11.5703125" bestFit="1" customWidth="1"/>
    <col min="10497" max="10497" width="11.140625" bestFit="1" customWidth="1"/>
    <col min="10498" max="10498" width="56.85546875" bestFit="1" customWidth="1"/>
    <col min="10499" max="10499" width="6.28515625" bestFit="1" customWidth="1"/>
    <col min="10500" max="10500" width="11.5703125" bestFit="1" customWidth="1"/>
    <col min="10753" max="10753" width="11.140625" bestFit="1" customWidth="1"/>
    <col min="10754" max="10754" width="56.85546875" bestFit="1" customWidth="1"/>
    <col min="10755" max="10755" width="6.28515625" bestFit="1" customWidth="1"/>
    <col min="10756" max="10756" width="11.5703125" bestFit="1" customWidth="1"/>
    <col min="11009" max="11009" width="11.140625" bestFit="1" customWidth="1"/>
    <col min="11010" max="11010" width="56.85546875" bestFit="1" customWidth="1"/>
    <col min="11011" max="11011" width="6.28515625" bestFit="1" customWidth="1"/>
    <col min="11012" max="11012" width="11.5703125" bestFit="1" customWidth="1"/>
    <col min="11265" max="11265" width="11.140625" bestFit="1" customWidth="1"/>
    <col min="11266" max="11266" width="56.85546875" bestFit="1" customWidth="1"/>
    <col min="11267" max="11267" width="6.28515625" bestFit="1" customWidth="1"/>
    <col min="11268" max="11268" width="11.5703125" bestFit="1" customWidth="1"/>
    <col min="11521" max="11521" width="11.140625" bestFit="1" customWidth="1"/>
    <col min="11522" max="11522" width="56.85546875" bestFit="1" customWidth="1"/>
    <col min="11523" max="11523" width="6.28515625" bestFit="1" customWidth="1"/>
    <col min="11524" max="11524" width="11.5703125" bestFit="1" customWidth="1"/>
    <col min="11777" max="11777" width="11.140625" bestFit="1" customWidth="1"/>
    <col min="11778" max="11778" width="56.85546875" bestFit="1" customWidth="1"/>
    <col min="11779" max="11779" width="6.28515625" bestFit="1" customWidth="1"/>
    <col min="11780" max="11780" width="11.5703125" bestFit="1" customWidth="1"/>
    <col min="12033" max="12033" width="11.140625" bestFit="1" customWidth="1"/>
    <col min="12034" max="12034" width="56.85546875" bestFit="1" customWidth="1"/>
    <col min="12035" max="12035" width="6.28515625" bestFit="1" customWidth="1"/>
    <col min="12036" max="12036" width="11.5703125" bestFit="1" customWidth="1"/>
    <col min="12289" max="12289" width="11.140625" bestFit="1" customWidth="1"/>
    <col min="12290" max="12290" width="56.85546875" bestFit="1" customWidth="1"/>
    <col min="12291" max="12291" width="6.28515625" bestFit="1" customWidth="1"/>
    <col min="12292" max="12292" width="11.5703125" bestFit="1" customWidth="1"/>
    <col min="12545" max="12545" width="11.140625" bestFit="1" customWidth="1"/>
    <col min="12546" max="12546" width="56.85546875" bestFit="1" customWidth="1"/>
    <col min="12547" max="12547" width="6.28515625" bestFit="1" customWidth="1"/>
    <col min="12548" max="12548" width="11.5703125" bestFit="1" customWidth="1"/>
    <col min="12801" max="12801" width="11.140625" bestFit="1" customWidth="1"/>
    <col min="12802" max="12802" width="56.85546875" bestFit="1" customWidth="1"/>
    <col min="12803" max="12803" width="6.28515625" bestFit="1" customWidth="1"/>
    <col min="12804" max="12804" width="11.5703125" bestFit="1" customWidth="1"/>
    <col min="13057" max="13057" width="11.140625" bestFit="1" customWidth="1"/>
    <col min="13058" max="13058" width="56.85546875" bestFit="1" customWidth="1"/>
    <col min="13059" max="13059" width="6.28515625" bestFit="1" customWidth="1"/>
    <col min="13060" max="13060" width="11.5703125" bestFit="1" customWidth="1"/>
    <col min="13313" max="13313" width="11.140625" bestFit="1" customWidth="1"/>
    <col min="13314" max="13314" width="56.85546875" bestFit="1" customWidth="1"/>
    <col min="13315" max="13315" width="6.28515625" bestFit="1" customWidth="1"/>
    <col min="13316" max="13316" width="11.5703125" bestFit="1" customWidth="1"/>
    <col min="13569" max="13569" width="11.140625" bestFit="1" customWidth="1"/>
    <col min="13570" max="13570" width="56.85546875" bestFit="1" customWidth="1"/>
    <col min="13571" max="13571" width="6.28515625" bestFit="1" customWidth="1"/>
    <col min="13572" max="13572" width="11.5703125" bestFit="1" customWidth="1"/>
    <col min="13825" max="13825" width="11.140625" bestFit="1" customWidth="1"/>
    <col min="13826" max="13826" width="56.85546875" bestFit="1" customWidth="1"/>
    <col min="13827" max="13827" width="6.28515625" bestFit="1" customWidth="1"/>
    <col min="13828" max="13828" width="11.5703125" bestFit="1" customWidth="1"/>
    <col min="14081" max="14081" width="11.140625" bestFit="1" customWidth="1"/>
    <col min="14082" max="14082" width="56.85546875" bestFit="1" customWidth="1"/>
    <col min="14083" max="14083" width="6.28515625" bestFit="1" customWidth="1"/>
    <col min="14084" max="14084" width="11.5703125" bestFit="1" customWidth="1"/>
    <col min="14337" max="14337" width="11.140625" bestFit="1" customWidth="1"/>
    <col min="14338" max="14338" width="56.85546875" bestFit="1" customWidth="1"/>
    <col min="14339" max="14339" width="6.28515625" bestFit="1" customWidth="1"/>
    <col min="14340" max="14340" width="11.5703125" bestFit="1" customWidth="1"/>
    <col min="14593" max="14593" width="11.140625" bestFit="1" customWidth="1"/>
    <col min="14594" max="14594" width="56.85546875" bestFit="1" customWidth="1"/>
    <col min="14595" max="14595" width="6.28515625" bestFit="1" customWidth="1"/>
    <col min="14596" max="14596" width="11.5703125" bestFit="1" customWidth="1"/>
    <col min="14849" max="14849" width="11.140625" bestFit="1" customWidth="1"/>
    <col min="14850" max="14850" width="56.85546875" bestFit="1" customWidth="1"/>
    <col min="14851" max="14851" width="6.28515625" bestFit="1" customWidth="1"/>
    <col min="14852" max="14852" width="11.5703125" bestFit="1" customWidth="1"/>
    <col min="15105" max="15105" width="11.140625" bestFit="1" customWidth="1"/>
    <col min="15106" max="15106" width="56.85546875" bestFit="1" customWidth="1"/>
    <col min="15107" max="15107" width="6.28515625" bestFit="1" customWidth="1"/>
    <col min="15108" max="15108" width="11.5703125" bestFit="1" customWidth="1"/>
    <col min="15361" max="15361" width="11.140625" bestFit="1" customWidth="1"/>
    <col min="15362" max="15362" width="56.85546875" bestFit="1" customWidth="1"/>
    <col min="15363" max="15363" width="6.28515625" bestFit="1" customWidth="1"/>
    <col min="15364" max="15364" width="11.5703125" bestFit="1" customWidth="1"/>
    <col min="15617" max="15617" width="11.140625" bestFit="1" customWidth="1"/>
    <col min="15618" max="15618" width="56.85546875" bestFit="1" customWidth="1"/>
    <col min="15619" max="15619" width="6.28515625" bestFit="1" customWidth="1"/>
    <col min="15620" max="15620" width="11.5703125" bestFit="1" customWidth="1"/>
    <col min="15873" max="15873" width="11.140625" bestFit="1" customWidth="1"/>
    <col min="15874" max="15874" width="56.85546875" bestFit="1" customWidth="1"/>
    <col min="15875" max="15875" width="6.28515625" bestFit="1" customWidth="1"/>
    <col min="15876" max="15876" width="11.5703125" bestFit="1" customWidth="1"/>
    <col min="16129" max="16129" width="11.140625" bestFit="1" customWidth="1"/>
    <col min="16130" max="16130" width="56.85546875" bestFit="1" customWidth="1"/>
    <col min="16131" max="16131" width="6.28515625" bestFit="1" customWidth="1"/>
    <col min="16132" max="16132" width="11.5703125" bestFit="1" customWidth="1"/>
  </cols>
  <sheetData>
    <row r="1" spans="1:15" x14ac:dyDescent="0.25">
      <c r="C1" t="s">
        <v>226</v>
      </c>
      <c r="D1">
        <v>400</v>
      </c>
      <c r="E1" t="s">
        <v>227</v>
      </c>
      <c r="F1">
        <v>0.73</v>
      </c>
    </row>
    <row r="2" spans="1:15" x14ac:dyDescent="0.25">
      <c r="A2" s="54" t="s">
        <v>161</v>
      </c>
      <c r="B2" s="55"/>
      <c r="C2" s="201" t="s">
        <v>124</v>
      </c>
      <c r="D2" s="202"/>
      <c r="E2" s="202"/>
      <c r="F2" s="202"/>
      <c r="G2" s="203"/>
      <c r="H2" s="105" t="s">
        <v>236</v>
      </c>
      <c r="I2" s="105"/>
      <c r="K2" t="s">
        <v>228</v>
      </c>
      <c r="L2" t="s">
        <v>237</v>
      </c>
    </row>
    <row r="3" spans="1:15" x14ac:dyDescent="0.25">
      <c r="A3" s="55" t="s">
        <v>125</v>
      </c>
      <c r="B3" s="55" t="s">
        <v>126</v>
      </c>
      <c r="C3" s="55" t="s">
        <v>127</v>
      </c>
      <c r="D3" s="55" t="s">
        <v>128</v>
      </c>
      <c r="E3" s="55" t="s">
        <v>129</v>
      </c>
      <c r="F3" s="55" t="s">
        <v>130</v>
      </c>
      <c r="G3" s="55" t="s">
        <v>131</v>
      </c>
      <c r="J3" t="s">
        <v>238</v>
      </c>
      <c r="K3">
        <v>1</v>
      </c>
      <c r="L3">
        <v>0</v>
      </c>
    </row>
    <row r="4" spans="1:15" x14ac:dyDescent="0.25">
      <c r="A4" s="55">
        <v>22</v>
      </c>
      <c r="B4" s="55" t="s">
        <v>132</v>
      </c>
      <c r="C4" s="55">
        <v>428</v>
      </c>
      <c r="D4" s="55">
        <v>98</v>
      </c>
      <c r="E4" s="55">
        <v>407</v>
      </c>
      <c r="F4" s="55">
        <v>425</v>
      </c>
      <c r="G4" s="55">
        <v>1358</v>
      </c>
      <c r="H4" s="106">
        <f>C13*D1*F1*365*$E$32*$I$33*$J$33*0.000001*0.001</f>
        <v>0.6131430162</v>
      </c>
      <c r="J4" t="s">
        <v>239</v>
      </c>
      <c r="K4">
        <v>1</v>
      </c>
      <c r="L4">
        <v>0</v>
      </c>
    </row>
    <row r="5" spans="1:15" x14ac:dyDescent="0.25">
      <c r="A5" s="55"/>
      <c r="B5" s="55" t="s">
        <v>133</v>
      </c>
      <c r="C5" s="55">
        <v>42</v>
      </c>
      <c r="D5" s="55">
        <v>29</v>
      </c>
      <c r="E5" s="55">
        <v>34</v>
      </c>
      <c r="F5" s="55">
        <v>12</v>
      </c>
      <c r="G5" s="55">
        <v>117</v>
      </c>
      <c r="J5" t="s">
        <v>240</v>
      </c>
      <c r="K5">
        <v>1</v>
      </c>
      <c r="L5">
        <v>0</v>
      </c>
    </row>
    <row r="6" spans="1:15" x14ac:dyDescent="0.25">
      <c r="A6" s="55"/>
      <c r="B6" s="57" t="s">
        <v>134</v>
      </c>
      <c r="C6" s="57">
        <v>470</v>
      </c>
      <c r="D6" s="57">
        <v>127</v>
      </c>
      <c r="E6" s="57">
        <v>441</v>
      </c>
      <c r="F6" s="57">
        <v>437</v>
      </c>
      <c r="G6" s="57">
        <v>1475</v>
      </c>
    </row>
    <row r="7" spans="1:15" x14ac:dyDescent="0.25">
      <c r="A7" s="55">
        <v>24</v>
      </c>
      <c r="B7" s="55" t="s">
        <v>135</v>
      </c>
      <c r="C7" s="57">
        <v>525</v>
      </c>
      <c r="D7" s="57">
        <v>176</v>
      </c>
      <c r="E7" s="57">
        <v>363</v>
      </c>
      <c r="F7" s="57">
        <v>265</v>
      </c>
      <c r="G7" s="57">
        <v>1329</v>
      </c>
      <c r="H7" s="101" t="s">
        <v>241</v>
      </c>
      <c r="I7" s="101"/>
    </row>
    <row r="8" spans="1:15" x14ac:dyDescent="0.25">
      <c r="A8" s="55">
        <v>25</v>
      </c>
      <c r="B8" s="55" t="s">
        <v>139</v>
      </c>
      <c r="C8" s="55">
        <v>1429</v>
      </c>
      <c r="D8" s="55">
        <v>377</v>
      </c>
      <c r="E8" s="55">
        <v>946</v>
      </c>
      <c r="F8" s="55">
        <v>1711</v>
      </c>
      <c r="G8" s="55">
        <v>4463</v>
      </c>
      <c r="K8" t="s">
        <v>242</v>
      </c>
      <c r="L8" t="s">
        <v>243</v>
      </c>
      <c r="O8" t="s">
        <v>226</v>
      </c>
    </row>
    <row r="9" spans="1:15" x14ac:dyDescent="0.25">
      <c r="A9" s="55"/>
      <c r="B9" s="55" t="s">
        <v>140</v>
      </c>
      <c r="C9" s="55">
        <v>33</v>
      </c>
      <c r="D9" s="55">
        <v>14</v>
      </c>
      <c r="E9" s="55">
        <v>8</v>
      </c>
      <c r="F9" s="55">
        <v>5</v>
      </c>
      <c r="G9" s="55">
        <v>60</v>
      </c>
      <c r="H9" s="100">
        <f>H11+H12</f>
        <v>3.1152194545607141</v>
      </c>
      <c r="I9" t="s">
        <v>250</v>
      </c>
      <c r="J9" t="s">
        <v>238</v>
      </c>
      <c r="K9">
        <v>1</v>
      </c>
      <c r="L9">
        <v>1</v>
      </c>
      <c r="N9" t="s">
        <v>245</v>
      </c>
      <c r="O9">
        <v>75</v>
      </c>
    </row>
    <row r="10" spans="1:15" x14ac:dyDescent="0.25">
      <c r="A10" s="55"/>
      <c r="B10" s="55" t="s">
        <v>141</v>
      </c>
      <c r="C10" s="55"/>
      <c r="D10" s="55"/>
      <c r="E10" s="55"/>
      <c r="F10" s="55">
        <v>2097</v>
      </c>
      <c r="G10" s="55">
        <v>2097</v>
      </c>
      <c r="J10" t="s">
        <v>239</v>
      </c>
      <c r="K10">
        <v>1</v>
      </c>
      <c r="L10">
        <v>0</v>
      </c>
      <c r="N10" t="s">
        <v>246</v>
      </c>
      <c r="O10">
        <v>150</v>
      </c>
    </row>
    <row r="11" spans="1:15" x14ac:dyDescent="0.25">
      <c r="A11" s="55"/>
      <c r="B11" s="55" t="s">
        <v>142</v>
      </c>
      <c r="C11" s="57">
        <v>1462</v>
      </c>
      <c r="D11" s="57">
        <v>391</v>
      </c>
      <c r="E11" s="57">
        <v>954</v>
      </c>
      <c r="F11" s="57">
        <v>3813</v>
      </c>
      <c r="G11" s="57">
        <v>6620</v>
      </c>
      <c r="H11">
        <f>F10*O12*F1*$K$14*$I$33*$J$33*365*0.001*0.000001</f>
        <v>2.6165260581428571</v>
      </c>
      <c r="I11" t="s">
        <v>243</v>
      </c>
      <c r="J11" t="s">
        <v>240</v>
      </c>
      <c r="K11">
        <v>1</v>
      </c>
      <c r="L11">
        <v>0</v>
      </c>
      <c r="N11" t="s">
        <v>247</v>
      </c>
      <c r="O11">
        <v>200</v>
      </c>
    </row>
    <row r="12" spans="1:15" x14ac:dyDescent="0.25">
      <c r="A12" s="55"/>
      <c r="B12" s="55"/>
      <c r="C12" s="55"/>
      <c r="D12" s="55"/>
      <c r="E12" s="55"/>
      <c r="F12" s="55"/>
      <c r="G12" s="55"/>
      <c r="H12">
        <f>((D13*O9)+(E13*O10)+((F9+F8+F7+F6)*O11))*F1*$E$32*$I$33*$J$33*365*0.001*0.000001</f>
        <v>0.49869339641785715</v>
      </c>
      <c r="I12" t="s">
        <v>242</v>
      </c>
      <c r="J12" t="s">
        <v>181</v>
      </c>
      <c r="K12">
        <v>1</v>
      </c>
      <c r="N12" t="s">
        <v>248</v>
      </c>
      <c r="O12">
        <v>500</v>
      </c>
    </row>
    <row r="13" spans="1:15" x14ac:dyDescent="0.25">
      <c r="A13" s="57" t="s">
        <v>143</v>
      </c>
      <c r="B13" s="55"/>
      <c r="C13" s="57">
        <v>2457</v>
      </c>
      <c r="D13" s="57">
        <v>694</v>
      </c>
      <c r="E13" s="57">
        <v>1758</v>
      </c>
      <c r="F13" s="57">
        <v>4515</v>
      </c>
      <c r="G13" s="57">
        <v>9424</v>
      </c>
    </row>
    <row r="14" spans="1:15" x14ac:dyDescent="0.25">
      <c r="J14" t="s">
        <v>249</v>
      </c>
      <c r="K14">
        <v>0.02</v>
      </c>
    </row>
    <row r="16" spans="1:15" x14ac:dyDescent="0.25">
      <c r="A16" s="54" t="s">
        <v>161</v>
      </c>
      <c r="B16" s="55"/>
      <c r="C16" s="201" t="s">
        <v>144</v>
      </c>
      <c r="D16" s="202"/>
      <c r="E16" s="202"/>
      <c r="F16" s="202"/>
      <c r="G16" s="203"/>
    </row>
    <row r="17" spans="1:11" x14ac:dyDescent="0.25">
      <c r="A17" s="55" t="s">
        <v>125</v>
      </c>
      <c r="B17" s="55" t="s">
        <v>126</v>
      </c>
      <c r="C17" s="55" t="s">
        <v>145</v>
      </c>
      <c r="D17" s="55" t="s">
        <v>146</v>
      </c>
      <c r="E17" s="55" t="s">
        <v>147</v>
      </c>
      <c r="F17" s="55" t="s">
        <v>148</v>
      </c>
      <c r="G17" s="55" t="s">
        <v>131</v>
      </c>
      <c r="H17" s="34" t="s">
        <v>228</v>
      </c>
      <c r="I17" s="34" t="s">
        <v>229</v>
      </c>
      <c r="J17" s="34" t="s">
        <v>230</v>
      </c>
      <c r="K17" s="34" t="s">
        <v>231</v>
      </c>
    </row>
    <row r="18" spans="1:11" x14ac:dyDescent="0.25">
      <c r="A18" s="55">
        <v>22</v>
      </c>
      <c r="B18" s="55" t="s">
        <v>132</v>
      </c>
      <c r="C18" s="55">
        <v>30</v>
      </c>
      <c r="D18" s="55">
        <v>179</v>
      </c>
      <c r="E18" s="55">
        <v>152</v>
      </c>
      <c r="F18" s="55">
        <v>392</v>
      </c>
      <c r="G18" s="55">
        <v>753</v>
      </c>
      <c r="H18" s="34">
        <v>1</v>
      </c>
      <c r="I18" s="34">
        <v>0</v>
      </c>
      <c r="J18" s="34">
        <v>0</v>
      </c>
      <c r="K18" s="34">
        <f>SUM(H18:J18)</f>
        <v>1</v>
      </c>
    </row>
    <row r="19" spans="1:11" x14ac:dyDescent="0.25">
      <c r="A19" s="55">
        <v>24</v>
      </c>
      <c r="B19" s="55" t="s">
        <v>135</v>
      </c>
      <c r="C19" s="55">
        <v>26</v>
      </c>
      <c r="D19" s="55">
        <v>185</v>
      </c>
      <c r="E19" s="55">
        <v>187</v>
      </c>
      <c r="F19" s="55">
        <v>968</v>
      </c>
      <c r="G19" s="55">
        <v>1366</v>
      </c>
      <c r="H19" s="34">
        <v>0.5</v>
      </c>
      <c r="I19" s="34">
        <v>0.25</v>
      </c>
      <c r="J19" s="34">
        <v>0.25</v>
      </c>
      <c r="K19" s="34">
        <f>SUM(H19:J19)</f>
        <v>1</v>
      </c>
    </row>
    <row r="20" spans="1:11" x14ac:dyDescent="0.25">
      <c r="A20" s="55">
        <v>25</v>
      </c>
      <c r="B20" s="55" t="s">
        <v>139</v>
      </c>
      <c r="C20" s="55">
        <v>202</v>
      </c>
      <c r="D20" s="55">
        <v>765</v>
      </c>
      <c r="E20" s="55">
        <v>856</v>
      </c>
      <c r="F20" s="55">
        <v>2757</v>
      </c>
      <c r="G20" s="55">
        <v>4580</v>
      </c>
      <c r="H20" s="34">
        <v>0.5</v>
      </c>
      <c r="I20" s="34">
        <v>0.25</v>
      </c>
      <c r="J20" s="34">
        <v>0.25</v>
      </c>
      <c r="K20" s="34">
        <f>SUM(H20:J20)</f>
        <v>1</v>
      </c>
    </row>
    <row r="21" spans="1:11" x14ac:dyDescent="0.25">
      <c r="A21" s="57" t="s">
        <v>143</v>
      </c>
      <c r="B21" s="57"/>
      <c r="C21" s="57">
        <v>258</v>
      </c>
      <c r="D21" s="57">
        <v>1129</v>
      </c>
      <c r="E21" s="57">
        <v>1195</v>
      </c>
      <c r="F21" s="57">
        <v>4117</v>
      </c>
      <c r="G21" s="57">
        <v>6699</v>
      </c>
    </row>
    <row r="28" spans="1:11" x14ac:dyDescent="0.25">
      <c r="B28" t="s">
        <v>226</v>
      </c>
      <c r="C28">
        <v>150</v>
      </c>
      <c r="D28">
        <v>125</v>
      </c>
      <c r="E28">
        <v>13</v>
      </c>
      <c r="F28">
        <v>90</v>
      </c>
    </row>
    <row r="29" spans="1:11" x14ac:dyDescent="0.25">
      <c r="B29" t="s">
        <v>227</v>
      </c>
      <c r="C29">
        <v>0.55000000000000004</v>
      </c>
      <c r="D29">
        <v>0.55000000000000004</v>
      </c>
      <c r="E29">
        <v>1.57</v>
      </c>
      <c r="F29">
        <v>1.57</v>
      </c>
    </row>
    <row r="31" spans="1:11" x14ac:dyDescent="0.25">
      <c r="B31" t="s">
        <v>232</v>
      </c>
      <c r="C31">
        <f>((((C19*$C$28*$C$29)+(D19*$D$28*$D$29)+(E19*$E$28*$E$29)+(F19*$F$28*$F$29))*I19)+(((C20*$C$28*$C$29)+(D20*$D$28*$D$29)+(E20*$E$28*$E$29)+(F20*$F$28*$F$29))*I20))*365/1000</f>
        <v>57647.427487500012</v>
      </c>
      <c r="E31">
        <v>0.01</v>
      </c>
      <c r="G31">
        <f>C31*E31</f>
        <v>576.47427487500011</v>
      </c>
    </row>
    <row r="32" spans="1:11" x14ac:dyDescent="0.25">
      <c r="B32" t="s">
        <v>233</v>
      </c>
      <c r="C32">
        <f>((((C18*$C$28*$C$29)+(D18*$D$28*$D$29)+(E18*$E$28*$E$29)+(F18*$F$28*$F$29))*H18)+(((C19*$C$28*$C$29)+(D19*$D$28*$D$29)+(E19*$E$28*$E$29)+(F19*$F$28*$F$29))*H19)+(((C20*$C$28*$C$29)+(D20*$D$28*$D$29)+(E20*$E$28*$E$29)+(F20*$F$28*$F$29))*H20))*365/1000</f>
        <v>142039.56202499999</v>
      </c>
      <c r="E32">
        <v>5.0000000000000001E-3</v>
      </c>
      <c r="G32">
        <f>C32*E32</f>
        <v>710.19781012499993</v>
      </c>
    </row>
    <row r="33" spans="2:10" x14ac:dyDescent="0.25">
      <c r="B33" t="s">
        <v>234</v>
      </c>
      <c r="C33">
        <f>C31+C32</f>
        <v>199686.9895125</v>
      </c>
      <c r="I33">
        <v>298</v>
      </c>
      <c r="J33">
        <f>44/28</f>
        <v>1.5714285714285714</v>
      </c>
    </row>
    <row r="35" spans="2:10" x14ac:dyDescent="0.25">
      <c r="C35">
        <f>(G31+G32)*I33*J33/1000000</f>
        <v>0.60253015637571439</v>
      </c>
    </row>
  </sheetData>
  <mergeCells count="2">
    <mergeCell ref="C2:G2"/>
    <mergeCell ref="C16:G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B10" workbookViewId="0">
      <selection activeCell="J34" sqref="J34"/>
    </sheetView>
  </sheetViews>
  <sheetFormatPr defaultRowHeight="15" x14ac:dyDescent="0.25"/>
  <cols>
    <col min="1" max="1" width="11.140625" bestFit="1" customWidth="1"/>
    <col min="2" max="2" width="56.85546875" bestFit="1" customWidth="1"/>
    <col min="4" max="4" width="11.5703125" bestFit="1" customWidth="1"/>
    <col min="11" max="11" width="12.85546875" customWidth="1"/>
    <col min="257" max="257" width="11.140625" bestFit="1" customWidth="1"/>
    <col min="258" max="258" width="56.85546875" bestFit="1" customWidth="1"/>
    <col min="260" max="260" width="11.5703125" bestFit="1" customWidth="1"/>
    <col min="513" max="513" width="11.140625" bestFit="1" customWidth="1"/>
    <col min="514" max="514" width="56.85546875" bestFit="1" customWidth="1"/>
    <col min="516" max="516" width="11.5703125" bestFit="1" customWidth="1"/>
    <col min="769" max="769" width="11.140625" bestFit="1" customWidth="1"/>
    <col min="770" max="770" width="56.85546875" bestFit="1" customWidth="1"/>
    <col min="772" max="772" width="11.5703125" bestFit="1" customWidth="1"/>
    <col min="1025" max="1025" width="11.140625" bestFit="1" customWidth="1"/>
    <col min="1026" max="1026" width="56.85546875" bestFit="1" customWidth="1"/>
    <col min="1028" max="1028" width="11.5703125" bestFit="1" customWidth="1"/>
    <col min="1281" max="1281" width="11.140625" bestFit="1" customWidth="1"/>
    <col min="1282" max="1282" width="56.85546875" bestFit="1" customWidth="1"/>
    <col min="1284" max="1284" width="11.5703125" bestFit="1" customWidth="1"/>
    <col min="1537" max="1537" width="11.140625" bestFit="1" customWidth="1"/>
    <col min="1538" max="1538" width="56.85546875" bestFit="1" customWidth="1"/>
    <col min="1540" max="1540" width="11.5703125" bestFit="1" customWidth="1"/>
    <col min="1793" max="1793" width="11.140625" bestFit="1" customWidth="1"/>
    <col min="1794" max="1794" width="56.85546875" bestFit="1" customWidth="1"/>
    <col min="1796" max="1796" width="11.5703125" bestFit="1" customWidth="1"/>
    <col min="2049" max="2049" width="11.140625" bestFit="1" customWidth="1"/>
    <col min="2050" max="2050" width="56.85546875" bestFit="1" customWidth="1"/>
    <col min="2052" max="2052" width="11.5703125" bestFit="1" customWidth="1"/>
    <col min="2305" max="2305" width="11.140625" bestFit="1" customWidth="1"/>
    <col min="2306" max="2306" width="56.85546875" bestFit="1" customWidth="1"/>
    <col min="2308" max="2308" width="11.5703125" bestFit="1" customWidth="1"/>
    <col min="2561" max="2561" width="11.140625" bestFit="1" customWidth="1"/>
    <col min="2562" max="2562" width="56.85546875" bestFit="1" customWidth="1"/>
    <col min="2564" max="2564" width="11.5703125" bestFit="1" customWidth="1"/>
    <col min="2817" max="2817" width="11.140625" bestFit="1" customWidth="1"/>
    <col min="2818" max="2818" width="56.85546875" bestFit="1" customWidth="1"/>
    <col min="2820" max="2820" width="11.5703125" bestFit="1" customWidth="1"/>
    <col min="3073" max="3073" width="11.140625" bestFit="1" customWidth="1"/>
    <col min="3074" max="3074" width="56.85546875" bestFit="1" customWidth="1"/>
    <col min="3076" max="3076" width="11.5703125" bestFit="1" customWidth="1"/>
    <col min="3329" max="3329" width="11.140625" bestFit="1" customWidth="1"/>
    <col min="3330" max="3330" width="56.85546875" bestFit="1" customWidth="1"/>
    <col min="3332" max="3332" width="11.5703125" bestFit="1" customWidth="1"/>
    <col min="3585" max="3585" width="11.140625" bestFit="1" customWidth="1"/>
    <col min="3586" max="3586" width="56.85546875" bestFit="1" customWidth="1"/>
    <col min="3588" max="3588" width="11.5703125" bestFit="1" customWidth="1"/>
    <col min="3841" max="3841" width="11.140625" bestFit="1" customWidth="1"/>
    <col min="3842" max="3842" width="56.85546875" bestFit="1" customWidth="1"/>
    <col min="3844" max="3844" width="11.5703125" bestFit="1" customWidth="1"/>
    <col min="4097" max="4097" width="11.140625" bestFit="1" customWidth="1"/>
    <col min="4098" max="4098" width="56.85546875" bestFit="1" customWidth="1"/>
    <col min="4100" max="4100" width="11.5703125" bestFit="1" customWidth="1"/>
    <col min="4353" max="4353" width="11.140625" bestFit="1" customWidth="1"/>
    <col min="4354" max="4354" width="56.85546875" bestFit="1" customWidth="1"/>
    <col min="4356" max="4356" width="11.5703125" bestFit="1" customWidth="1"/>
    <col min="4609" max="4609" width="11.140625" bestFit="1" customWidth="1"/>
    <col min="4610" max="4610" width="56.85546875" bestFit="1" customWidth="1"/>
    <col min="4612" max="4612" width="11.5703125" bestFit="1" customWidth="1"/>
    <col min="4865" max="4865" width="11.140625" bestFit="1" customWidth="1"/>
    <col min="4866" max="4866" width="56.85546875" bestFit="1" customWidth="1"/>
    <col min="4868" max="4868" width="11.5703125" bestFit="1" customWidth="1"/>
    <col min="5121" max="5121" width="11.140625" bestFit="1" customWidth="1"/>
    <col min="5122" max="5122" width="56.85546875" bestFit="1" customWidth="1"/>
    <col min="5124" max="5124" width="11.5703125" bestFit="1" customWidth="1"/>
    <col min="5377" max="5377" width="11.140625" bestFit="1" customWidth="1"/>
    <col min="5378" max="5378" width="56.85546875" bestFit="1" customWidth="1"/>
    <col min="5380" max="5380" width="11.5703125" bestFit="1" customWidth="1"/>
    <col min="5633" max="5633" width="11.140625" bestFit="1" customWidth="1"/>
    <col min="5634" max="5634" width="56.85546875" bestFit="1" customWidth="1"/>
    <col min="5636" max="5636" width="11.5703125" bestFit="1" customWidth="1"/>
    <col min="5889" max="5889" width="11.140625" bestFit="1" customWidth="1"/>
    <col min="5890" max="5890" width="56.85546875" bestFit="1" customWidth="1"/>
    <col min="5892" max="5892" width="11.5703125" bestFit="1" customWidth="1"/>
    <col min="6145" max="6145" width="11.140625" bestFit="1" customWidth="1"/>
    <col min="6146" max="6146" width="56.85546875" bestFit="1" customWidth="1"/>
    <col min="6148" max="6148" width="11.5703125" bestFit="1" customWidth="1"/>
    <col min="6401" max="6401" width="11.140625" bestFit="1" customWidth="1"/>
    <col min="6402" max="6402" width="56.85546875" bestFit="1" customWidth="1"/>
    <col min="6404" max="6404" width="11.5703125" bestFit="1" customWidth="1"/>
    <col min="6657" max="6657" width="11.140625" bestFit="1" customWidth="1"/>
    <col min="6658" max="6658" width="56.85546875" bestFit="1" customWidth="1"/>
    <col min="6660" max="6660" width="11.5703125" bestFit="1" customWidth="1"/>
    <col min="6913" max="6913" width="11.140625" bestFit="1" customWidth="1"/>
    <col min="6914" max="6914" width="56.85546875" bestFit="1" customWidth="1"/>
    <col min="6916" max="6916" width="11.5703125" bestFit="1" customWidth="1"/>
    <col min="7169" max="7169" width="11.140625" bestFit="1" customWidth="1"/>
    <col min="7170" max="7170" width="56.85546875" bestFit="1" customWidth="1"/>
    <col min="7172" max="7172" width="11.5703125" bestFit="1" customWidth="1"/>
    <col min="7425" max="7425" width="11.140625" bestFit="1" customWidth="1"/>
    <col min="7426" max="7426" width="56.85546875" bestFit="1" customWidth="1"/>
    <col min="7428" max="7428" width="11.5703125" bestFit="1" customWidth="1"/>
    <col min="7681" max="7681" width="11.140625" bestFit="1" customWidth="1"/>
    <col min="7682" max="7682" width="56.85546875" bestFit="1" customWidth="1"/>
    <col min="7684" max="7684" width="11.5703125" bestFit="1" customWidth="1"/>
    <col min="7937" max="7937" width="11.140625" bestFit="1" customWidth="1"/>
    <col min="7938" max="7938" width="56.85546875" bestFit="1" customWidth="1"/>
    <col min="7940" max="7940" width="11.5703125" bestFit="1" customWidth="1"/>
    <col min="8193" max="8193" width="11.140625" bestFit="1" customWidth="1"/>
    <col min="8194" max="8194" width="56.85546875" bestFit="1" customWidth="1"/>
    <col min="8196" max="8196" width="11.5703125" bestFit="1" customWidth="1"/>
    <col min="8449" max="8449" width="11.140625" bestFit="1" customWidth="1"/>
    <col min="8450" max="8450" width="56.85546875" bestFit="1" customWidth="1"/>
    <col min="8452" max="8452" width="11.5703125" bestFit="1" customWidth="1"/>
    <col min="8705" max="8705" width="11.140625" bestFit="1" customWidth="1"/>
    <col min="8706" max="8706" width="56.85546875" bestFit="1" customWidth="1"/>
    <col min="8708" max="8708" width="11.5703125" bestFit="1" customWidth="1"/>
    <col min="8961" max="8961" width="11.140625" bestFit="1" customWidth="1"/>
    <col min="8962" max="8962" width="56.85546875" bestFit="1" customWidth="1"/>
    <col min="8964" max="8964" width="11.5703125" bestFit="1" customWidth="1"/>
    <col min="9217" max="9217" width="11.140625" bestFit="1" customWidth="1"/>
    <col min="9218" max="9218" width="56.85546875" bestFit="1" customWidth="1"/>
    <col min="9220" max="9220" width="11.5703125" bestFit="1" customWidth="1"/>
    <col min="9473" max="9473" width="11.140625" bestFit="1" customWidth="1"/>
    <col min="9474" max="9474" width="56.85546875" bestFit="1" customWidth="1"/>
    <col min="9476" max="9476" width="11.5703125" bestFit="1" customWidth="1"/>
    <col min="9729" max="9729" width="11.140625" bestFit="1" customWidth="1"/>
    <col min="9730" max="9730" width="56.85546875" bestFit="1" customWidth="1"/>
    <col min="9732" max="9732" width="11.5703125" bestFit="1" customWidth="1"/>
    <col min="9985" max="9985" width="11.140625" bestFit="1" customWidth="1"/>
    <col min="9986" max="9986" width="56.85546875" bestFit="1" customWidth="1"/>
    <col min="9988" max="9988" width="11.5703125" bestFit="1" customWidth="1"/>
    <col min="10241" max="10241" width="11.140625" bestFit="1" customWidth="1"/>
    <col min="10242" max="10242" width="56.85546875" bestFit="1" customWidth="1"/>
    <col min="10244" max="10244" width="11.5703125" bestFit="1" customWidth="1"/>
    <col min="10497" max="10497" width="11.140625" bestFit="1" customWidth="1"/>
    <col min="10498" max="10498" width="56.85546875" bestFit="1" customWidth="1"/>
    <col min="10500" max="10500" width="11.5703125" bestFit="1" customWidth="1"/>
    <col min="10753" max="10753" width="11.140625" bestFit="1" customWidth="1"/>
    <col min="10754" max="10754" width="56.85546875" bestFit="1" customWidth="1"/>
    <col min="10756" max="10756" width="11.5703125" bestFit="1" customWidth="1"/>
    <col min="11009" max="11009" width="11.140625" bestFit="1" customWidth="1"/>
    <col min="11010" max="11010" width="56.85546875" bestFit="1" customWidth="1"/>
    <col min="11012" max="11012" width="11.5703125" bestFit="1" customWidth="1"/>
    <col min="11265" max="11265" width="11.140625" bestFit="1" customWidth="1"/>
    <col min="11266" max="11266" width="56.85546875" bestFit="1" customWidth="1"/>
    <col min="11268" max="11268" width="11.5703125" bestFit="1" customWidth="1"/>
    <col min="11521" max="11521" width="11.140625" bestFit="1" customWidth="1"/>
    <col min="11522" max="11522" width="56.85546875" bestFit="1" customWidth="1"/>
    <col min="11524" max="11524" width="11.5703125" bestFit="1" customWidth="1"/>
    <col min="11777" max="11777" width="11.140625" bestFit="1" customWidth="1"/>
    <col min="11778" max="11778" width="56.85546875" bestFit="1" customWidth="1"/>
    <col min="11780" max="11780" width="11.5703125" bestFit="1" customWidth="1"/>
    <col min="12033" max="12033" width="11.140625" bestFit="1" customWidth="1"/>
    <col min="12034" max="12034" width="56.85546875" bestFit="1" customWidth="1"/>
    <col min="12036" max="12036" width="11.5703125" bestFit="1" customWidth="1"/>
    <col min="12289" max="12289" width="11.140625" bestFit="1" customWidth="1"/>
    <col min="12290" max="12290" width="56.85546875" bestFit="1" customWidth="1"/>
    <col min="12292" max="12292" width="11.5703125" bestFit="1" customWidth="1"/>
    <col min="12545" max="12545" width="11.140625" bestFit="1" customWidth="1"/>
    <col min="12546" max="12546" width="56.85546875" bestFit="1" customWidth="1"/>
    <col min="12548" max="12548" width="11.5703125" bestFit="1" customWidth="1"/>
    <col min="12801" max="12801" width="11.140625" bestFit="1" customWidth="1"/>
    <col min="12802" max="12802" width="56.85546875" bestFit="1" customWidth="1"/>
    <col min="12804" max="12804" width="11.5703125" bestFit="1" customWidth="1"/>
    <col min="13057" max="13057" width="11.140625" bestFit="1" customWidth="1"/>
    <col min="13058" max="13058" width="56.85546875" bestFit="1" customWidth="1"/>
    <col min="13060" max="13060" width="11.5703125" bestFit="1" customWidth="1"/>
    <col min="13313" max="13313" width="11.140625" bestFit="1" customWidth="1"/>
    <col min="13314" max="13314" width="56.85546875" bestFit="1" customWidth="1"/>
    <col min="13316" max="13316" width="11.5703125" bestFit="1" customWidth="1"/>
    <col min="13569" max="13569" width="11.140625" bestFit="1" customWidth="1"/>
    <col min="13570" max="13570" width="56.85546875" bestFit="1" customWidth="1"/>
    <col min="13572" max="13572" width="11.5703125" bestFit="1" customWidth="1"/>
    <col min="13825" max="13825" width="11.140625" bestFit="1" customWidth="1"/>
    <col min="13826" max="13826" width="56.85546875" bestFit="1" customWidth="1"/>
    <col min="13828" max="13828" width="11.5703125" bestFit="1" customWidth="1"/>
    <col min="14081" max="14081" width="11.140625" bestFit="1" customWidth="1"/>
    <col min="14082" max="14082" width="56.85546875" bestFit="1" customWidth="1"/>
    <col min="14084" max="14084" width="11.5703125" bestFit="1" customWidth="1"/>
    <col min="14337" max="14337" width="11.140625" bestFit="1" customWidth="1"/>
    <col min="14338" max="14338" width="56.85546875" bestFit="1" customWidth="1"/>
    <col min="14340" max="14340" width="11.5703125" bestFit="1" customWidth="1"/>
    <col min="14593" max="14593" width="11.140625" bestFit="1" customWidth="1"/>
    <col min="14594" max="14594" width="56.85546875" bestFit="1" customWidth="1"/>
    <col min="14596" max="14596" width="11.5703125" bestFit="1" customWidth="1"/>
    <col min="14849" max="14849" width="11.140625" bestFit="1" customWidth="1"/>
    <col min="14850" max="14850" width="56.85546875" bestFit="1" customWidth="1"/>
    <col min="14852" max="14852" width="11.5703125" bestFit="1" customWidth="1"/>
    <col min="15105" max="15105" width="11.140625" bestFit="1" customWidth="1"/>
    <col min="15106" max="15106" width="56.85546875" bestFit="1" customWidth="1"/>
    <col min="15108" max="15108" width="11.5703125" bestFit="1" customWidth="1"/>
    <col min="15361" max="15361" width="11.140625" bestFit="1" customWidth="1"/>
    <col min="15362" max="15362" width="56.85546875" bestFit="1" customWidth="1"/>
    <col min="15364" max="15364" width="11.5703125" bestFit="1" customWidth="1"/>
    <col min="15617" max="15617" width="11.140625" bestFit="1" customWidth="1"/>
    <col min="15618" max="15618" width="56.85546875" bestFit="1" customWidth="1"/>
    <col min="15620" max="15620" width="11.5703125" bestFit="1" customWidth="1"/>
    <col min="15873" max="15873" width="11.140625" bestFit="1" customWidth="1"/>
    <col min="15874" max="15874" width="56.85546875" bestFit="1" customWidth="1"/>
    <col min="15876" max="15876" width="11.5703125" bestFit="1" customWidth="1"/>
    <col min="16129" max="16129" width="11.140625" bestFit="1" customWidth="1"/>
    <col min="16130" max="16130" width="56.85546875" bestFit="1" customWidth="1"/>
    <col min="16132" max="16132" width="11.5703125" bestFit="1" customWidth="1"/>
  </cols>
  <sheetData>
    <row r="1" spans="1:15" x14ac:dyDescent="0.25">
      <c r="C1" t="s">
        <v>226</v>
      </c>
      <c r="D1">
        <v>400</v>
      </c>
      <c r="E1" t="s">
        <v>227</v>
      </c>
      <c r="F1">
        <v>0.73</v>
      </c>
    </row>
    <row r="2" spans="1:15" x14ac:dyDescent="0.25">
      <c r="A2" s="54" t="s">
        <v>162</v>
      </c>
      <c r="B2" s="55"/>
      <c r="C2" s="201" t="s">
        <v>124</v>
      </c>
      <c r="D2" s="202"/>
      <c r="E2" s="202"/>
      <c r="F2" s="202"/>
      <c r="G2" s="203"/>
      <c r="H2" s="105" t="s">
        <v>236</v>
      </c>
      <c r="I2" s="105"/>
      <c r="J2" s="105"/>
      <c r="K2" t="s">
        <v>228</v>
      </c>
      <c r="L2" t="s">
        <v>237</v>
      </c>
    </row>
    <row r="3" spans="1:15" x14ac:dyDescent="0.25">
      <c r="A3" s="55" t="s">
        <v>125</v>
      </c>
      <c r="B3" s="55" t="s">
        <v>126</v>
      </c>
      <c r="C3" s="55" t="s">
        <v>127</v>
      </c>
      <c r="D3" s="55" t="s">
        <v>128</v>
      </c>
      <c r="E3" s="55" t="s">
        <v>129</v>
      </c>
      <c r="F3" s="55" t="s">
        <v>130</v>
      </c>
      <c r="G3" s="55" t="s">
        <v>131</v>
      </c>
      <c r="J3" t="s">
        <v>238</v>
      </c>
      <c r="K3">
        <v>0.25</v>
      </c>
      <c r="L3">
        <v>0.25</v>
      </c>
    </row>
    <row r="4" spans="1:15" x14ac:dyDescent="0.25">
      <c r="A4" s="55">
        <v>22</v>
      </c>
      <c r="B4" s="55" t="s">
        <v>132</v>
      </c>
      <c r="C4" s="55">
        <v>559</v>
      </c>
      <c r="D4" s="55">
        <v>175</v>
      </c>
      <c r="E4" s="55">
        <v>633</v>
      </c>
      <c r="F4" s="55">
        <v>220</v>
      </c>
      <c r="G4" s="55">
        <v>1587</v>
      </c>
      <c r="H4">
        <f>((C9+C14+(K3*C8))*$E$32+(C8*L3*$E$31))*D1*F1*365*$I$33*$J$33*0.000001*0.001</f>
        <v>0.53927637688571428</v>
      </c>
      <c r="J4" t="s">
        <v>239</v>
      </c>
      <c r="K4">
        <v>1</v>
      </c>
      <c r="L4">
        <v>0</v>
      </c>
    </row>
    <row r="5" spans="1:15" x14ac:dyDescent="0.25">
      <c r="A5" s="55"/>
      <c r="B5" s="55" t="s">
        <v>133</v>
      </c>
      <c r="C5" s="55">
        <v>55</v>
      </c>
      <c r="D5" s="55">
        <v>5</v>
      </c>
      <c r="E5" s="55">
        <v>38</v>
      </c>
      <c r="F5" s="55">
        <v>28</v>
      </c>
      <c r="G5" s="55">
        <v>126</v>
      </c>
      <c r="J5" t="s">
        <v>240</v>
      </c>
      <c r="K5">
        <v>1</v>
      </c>
      <c r="L5">
        <v>0</v>
      </c>
    </row>
    <row r="6" spans="1:15" x14ac:dyDescent="0.25">
      <c r="A6" s="55"/>
      <c r="B6" s="55" t="s">
        <v>163</v>
      </c>
      <c r="C6" s="55">
        <v>6</v>
      </c>
      <c r="D6" s="55">
        <v>6</v>
      </c>
      <c r="E6" s="55">
        <v>494</v>
      </c>
      <c r="F6" s="55"/>
      <c r="G6" s="55">
        <v>506</v>
      </c>
    </row>
    <row r="7" spans="1:15" x14ac:dyDescent="0.25">
      <c r="A7" s="55"/>
      <c r="B7" s="55" t="s">
        <v>164</v>
      </c>
      <c r="C7" s="55"/>
      <c r="D7" s="55"/>
      <c r="E7" s="55">
        <v>246</v>
      </c>
      <c r="F7" s="55"/>
      <c r="G7" s="55">
        <v>246</v>
      </c>
      <c r="H7" s="101" t="s">
        <v>241</v>
      </c>
      <c r="I7" s="101"/>
      <c r="J7" s="101"/>
    </row>
    <row r="8" spans="1:15" x14ac:dyDescent="0.25">
      <c r="A8" s="55"/>
      <c r="B8" s="57" t="s">
        <v>134</v>
      </c>
      <c r="C8" s="57">
        <v>620</v>
      </c>
      <c r="D8" s="57">
        <f>SUM(D4:D7)</f>
        <v>186</v>
      </c>
      <c r="E8" s="57">
        <v>1411</v>
      </c>
      <c r="F8" s="57">
        <v>248</v>
      </c>
      <c r="G8" s="57">
        <v>2465</v>
      </c>
      <c r="K8" t="s">
        <v>242</v>
      </c>
      <c r="L8" t="s">
        <v>243</v>
      </c>
      <c r="M8" t="s">
        <v>251</v>
      </c>
      <c r="O8" t="s">
        <v>226</v>
      </c>
    </row>
    <row r="9" spans="1:15" x14ac:dyDescent="0.25">
      <c r="A9" s="55">
        <v>24</v>
      </c>
      <c r="B9" s="55" t="s">
        <v>135</v>
      </c>
      <c r="C9" s="57">
        <v>281</v>
      </c>
      <c r="D9" s="57">
        <v>81</v>
      </c>
      <c r="E9" s="57">
        <v>221</v>
      </c>
      <c r="F9" s="57">
        <v>140</v>
      </c>
      <c r="G9" s="57">
        <v>723</v>
      </c>
      <c r="H9" s="101">
        <f>H11+H12+H13</f>
        <v>3.0538224896830362</v>
      </c>
      <c r="I9" s="101" t="s">
        <v>250</v>
      </c>
      <c r="J9" t="s">
        <v>238</v>
      </c>
      <c r="K9">
        <v>1</v>
      </c>
      <c r="L9">
        <v>1</v>
      </c>
      <c r="M9">
        <v>0.25</v>
      </c>
      <c r="N9" t="s">
        <v>245</v>
      </c>
      <c r="O9">
        <v>75</v>
      </c>
    </row>
    <row r="10" spans="1:15" x14ac:dyDescent="0.25">
      <c r="A10" s="55">
        <v>25</v>
      </c>
      <c r="B10" s="55" t="s">
        <v>139</v>
      </c>
      <c r="C10" s="55">
        <v>1389</v>
      </c>
      <c r="D10" s="55">
        <v>255</v>
      </c>
      <c r="E10" s="55">
        <v>900</v>
      </c>
      <c r="F10" s="55">
        <v>1343</v>
      </c>
      <c r="G10" s="55">
        <v>3887</v>
      </c>
      <c r="J10" t="s">
        <v>239</v>
      </c>
      <c r="K10">
        <v>1</v>
      </c>
      <c r="L10">
        <v>0</v>
      </c>
      <c r="N10" t="s">
        <v>246</v>
      </c>
      <c r="O10">
        <v>150</v>
      </c>
    </row>
    <row r="11" spans="1:15" x14ac:dyDescent="0.25">
      <c r="A11" s="55"/>
      <c r="B11" s="55" t="s">
        <v>165</v>
      </c>
      <c r="C11" s="55"/>
      <c r="D11" s="55"/>
      <c r="E11" s="55"/>
      <c r="F11" s="55">
        <v>105</v>
      </c>
      <c r="G11" s="55">
        <v>105</v>
      </c>
      <c r="H11">
        <f>F13*O12*F1*$K$14*$I$33*$J$33*365*0.001*0.000001</f>
        <v>2.6015530907142859</v>
      </c>
      <c r="I11" t="s">
        <v>243</v>
      </c>
      <c r="J11" t="s">
        <v>240</v>
      </c>
      <c r="K11">
        <v>1</v>
      </c>
      <c r="L11">
        <v>0</v>
      </c>
      <c r="N11" t="s">
        <v>247</v>
      </c>
      <c r="O11">
        <v>200</v>
      </c>
    </row>
    <row r="12" spans="1:15" x14ac:dyDescent="0.25">
      <c r="A12" s="55"/>
      <c r="B12" s="55" t="s">
        <v>140</v>
      </c>
      <c r="C12" s="55">
        <v>26</v>
      </c>
      <c r="D12" s="55">
        <v>8</v>
      </c>
      <c r="E12" s="55">
        <v>22</v>
      </c>
      <c r="F12" s="55">
        <v>1</v>
      </c>
      <c r="G12" s="55">
        <v>57</v>
      </c>
      <c r="H12">
        <f>((D15*O9)+((E14+E9+(E8*K3))*O10)+((F9+F10+F11+F12+(F8*K3))*O11))*F1*$E$32*$I$33*$J$33*365*0.001*0.000001</f>
        <v>0.37077590437053565</v>
      </c>
      <c r="I12" t="s">
        <v>242</v>
      </c>
      <c r="J12" t="s">
        <v>181</v>
      </c>
      <c r="K12">
        <v>1</v>
      </c>
      <c r="N12" t="s">
        <v>248</v>
      </c>
      <c r="O12">
        <v>500</v>
      </c>
    </row>
    <row r="13" spans="1:15" x14ac:dyDescent="0.25">
      <c r="A13" s="55"/>
      <c r="B13" s="55" t="s">
        <v>141</v>
      </c>
      <c r="C13" s="55"/>
      <c r="D13" s="55"/>
      <c r="E13" s="55"/>
      <c r="F13" s="55">
        <v>2085</v>
      </c>
      <c r="G13" s="55">
        <v>2085</v>
      </c>
      <c r="H13">
        <f>(E8*O10+F8*O11)*F1*M9*365*0.001*$E$31*$I$33*$J$33*0.000001</f>
        <v>8.1493494598214297E-2</v>
      </c>
      <c r="I13" t="s">
        <v>251</v>
      </c>
    </row>
    <row r="14" spans="1:15" x14ac:dyDescent="0.25">
      <c r="A14" s="55"/>
      <c r="B14" s="57" t="s">
        <v>142</v>
      </c>
      <c r="C14" s="57">
        <v>1415</v>
      </c>
      <c r="D14" s="57">
        <v>263</v>
      </c>
      <c r="E14" s="57">
        <v>922</v>
      </c>
      <c r="F14" s="57">
        <v>3534</v>
      </c>
      <c r="G14" s="57">
        <v>6134</v>
      </c>
      <c r="J14" t="s">
        <v>249</v>
      </c>
      <c r="K14">
        <v>0.02</v>
      </c>
    </row>
    <row r="15" spans="1:15" x14ac:dyDescent="0.25">
      <c r="A15" s="57" t="s">
        <v>143</v>
      </c>
      <c r="B15" s="55"/>
      <c r="C15" s="57">
        <f>C8+C9+C14</f>
        <v>2316</v>
      </c>
      <c r="D15" s="57">
        <f>D8+D9+D14</f>
        <v>530</v>
      </c>
      <c r="E15" s="57">
        <f>E8+E9+E14</f>
        <v>2554</v>
      </c>
      <c r="F15" s="57">
        <f>F8+F9+F14</f>
        <v>3922</v>
      </c>
      <c r="G15" s="57">
        <f>G8+G9+G14</f>
        <v>9322</v>
      </c>
    </row>
    <row r="17" spans="1:11" x14ac:dyDescent="0.25">
      <c r="A17" s="54" t="s">
        <v>162</v>
      </c>
      <c r="B17" s="55"/>
      <c r="C17" s="201" t="s">
        <v>144</v>
      </c>
      <c r="D17" s="202"/>
      <c r="E17" s="202"/>
      <c r="F17" s="202"/>
      <c r="G17" s="203"/>
    </row>
    <row r="18" spans="1:11" x14ac:dyDescent="0.25">
      <c r="A18" s="55" t="s">
        <v>125</v>
      </c>
      <c r="B18" s="55" t="s">
        <v>126</v>
      </c>
      <c r="C18" s="55" t="s">
        <v>145</v>
      </c>
      <c r="D18" s="55" t="s">
        <v>146</v>
      </c>
      <c r="E18" s="55" t="s">
        <v>147</v>
      </c>
      <c r="F18" s="55" t="s">
        <v>148</v>
      </c>
      <c r="G18" s="55" t="s">
        <v>131</v>
      </c>
      <c r="H18" s="34" t="s">
        <v>228</v>
      </c>
      <c r="I18" s="34" t="s">
        <v>229</v>
      </c>
      <c r="J18" s="34" t="s">
        <v>230</v>
      </c>
      <c r="K18" s="34" t="s">
        <v>231</v>
      </c>
    </row>
    <row r="19" spans="1:11" x14ac:dyDescent="0.25">
      <c r="A19" s="55">
        <v>22</v>
      </c>
      <c r="B19" s="55" t="s">
        <v>132</v>
      </c>
      <c r="C19" s="55">
        <v>33</v>
      </c>
      <c r="D19" s="55">
        <v>223</v>
      </c>
      <c r="E19" s="55">
        <v>123</v>
      </c>
      <c r="F19" s="55">
        <v>341</v>
      </c>
      <c r="G19" s="55">
        <v>720</v>
      </c>
      <c r="H19" s="34">
        <v>1</v>
      </c>
      <c r="I19" s="34">
        <v>0</v>
      </c>
      <c r="J19" s="34">
        <v>0</v>
      </c>
      <c r="K19" s="34">
        <f>SUM(H19:J19)</f>
        <v>1</v>
      </c>
    </row>
    <row r="20" spans="1:11" x14ac:dyDescent="0.25">
      <c r="A20" s="55">
        <v>24</v>
      </c>
      <c r="B20" s="55" t="s">
        <v>135</v>
      </c>
      <c r="C20" s="55">
        <v>71</v>
      </c>
      <c r="D20" s="55">
        <v>493</v>
      </c>
      <c r="E20" s="55">
        <v>498</v>
      </c>
      <c r="F20" s="55">
        <v>2498</v>
      </c>
      <c r="G20" s="55">
        <v>3560</v>
      </c>
      <c r="H20" s="34">
        <v>0.5</v>
      </c>
      <c r="I20" s="34">
        <v>0.25</v>
      </c>
      <c r="J20" s="34">
        <v>0.25</v>
      </c>
      <c r="K20" s="34">
        <f>SUM(H20:J20)</f>
        <v>1</v>
      </c>
    </row>
    <row r="21" spans="1:11" x14ac:dyDescent="0.25">
      <c r="A21" s="55">
        <v>25</v>
      </c>
      <c r="B21" s="55" t="s">
        <v>139</v>
      </c>
      <c r="C21" s="55">
        <v>239</v>
      </c>
      <c r="D21" s="55">
        <v>1944</v>
      </c>
      <c r="E21" s="55">
        <v>3405</v>
      </c>
      <c r="F21" s="55">
        <v>4240</v>
      </c>
      <c r="G21" s="55">
        <v>9828</v>
      </c>
      <c r="H21" s="34">
        <v>0.5</v>
      </c>
      <c r="I21" s="34">
        <v>0.25</v>
      </c>
      <c r="J21" s="34">
        <v>0.25</v>
      </c>
      <c r="K21" s="34">
        <f>SUM(H21:J21)</f>
        <v>1</v>
      </c>
    </row>
    <row r="22" spans="1:11" x14ac:dyDescent="0.25">
      <c r="A22" s="57" t="s">
        <v>143</v>
      </c>
      <c r="B22" s="57"/>
      <c r="C22" s="57">
        <v>343</v>
      </c>
      <c r="D22" s="57">
        <v>2660</v>
      </c>
      <c r="E22" s="57">
        <v>4026</v>
      </c>
      <c r="F22" s="57">
        <v>7079</v>
      </c>
      <c r="G22" s="57">
        <v>14108</v>
      </c>
    </row>
    <row r="28" spans="1:11" x14ac:dyDescent="0.25">
      <c r="B28" t="s">
        <v>226</v>
      </c>
      <c r="C28">
        <v>150</v>
      </c>
      <c r="D28">
        <v>125</v>
      </c>
      <c r="E28">
        <v>13</v>
      </c>
      <c r="F28">
        <v>90</v>
      </c>
    </row>
    <row r="29" spans="1:11" x14ac:dyDescent="0.25">
      <c r="B29" t="s">
        <v>227</v>
      </c>
      <c r="C29">
        <v>0.55000000000000004</v>
      </c>
      <c r="D29">
        <v>0.55000000000000004</v>
      </c>
      <c r="E29">
        <v>1.57</v>
      </c>
      <c r="F29">
        <v>1.57</v>
      </c>
    </row>
    <row r="31" spans="1:11" x14ac:dyDescent="0.25">
      <c r="B31" t="s">
        <v>232</v>
      </c>
      <c r="C31">
        <f>((((C21*$C$28*$C$29)+(D21*$D$28*$D$29)+(E21*$E$28*$E$29)+(F21*$F$28*$F$29))*I21)+(((C20*$C$28*$C$29)+(D20*$D$28*$D$29)+(E20*$E$28*$E$29)+(F20*$F$28*$F$29))*I20))*365/1000</f>
        <v>111768.32717500001</v>
      </c>
      <c r="E31">
        <v>0.01</v>
      </c>
      <c r="G31">
        <f>C31*E31</f>
        <v>1117.6832717500001</v>
      </c>
    </row>
    <row r="32" spans="1:11" x14ac:dyDescent="0.25">
      <c r="B32" t="s">
        <v>233</v>
      </c>
      <c r="C32">
        <f>((((C21*$C$28*$C$29)+(D21*$D$28*$D$29)+(E21*$E$28*$E$29)+(F21*$F$28*$F$29))*H21)+(((C19*$C$28*$C$29)+(D19*$D$28*$D$29)+(E19*$E$28*$E$29)+(F19*$F$28*$F$29))*H19)+(((C20*$C$28*$C$29)+(D20*$D$28*$D$29)+(E20*$E$28*$E$29)+(F20*$F$28*$F$29))*H20))*365/1000</f>
        <v>248629.48455000002</v>
      </c>
      <c r="E32">
        <v>5.0000000000000001E-3</v>
      </c>
      <c r="G32">
        <f>C32*E32</f>
        <v>1243.14742275</v>
      </c>
    </row>
    <row r="33" spans="2:10" x14ac:dyDescent="0.25">
      <c r="B33" t="s">
        <v>234</v>
      </c>
      <c r="C33">
        <f>C31+C32</f>
        <v>360397.81172500004</v>
      </c>
      <c r="I33">
        <v>298</v>
      </c>
      <c r="J33">
        <f>44/28</f>
        <v>1.5714285714285714</v>
      </c>
    </row>
    <row r="35" spans="2:10" x14ac:dyDescent="0.25">
      <c r="C35">
        <f>(G31+G32)*I33*J33/1000000</f>
        <v>1.1055432880815714</v>
      </c>
    </row>
  </sheetData>
  <mergeCells count="2">
    <mergeCell ref="C2:G2"/>
    <mergeCell ref="C17:G1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80" zoomScaleNormal="80" workbookViewId="0">
      <selection activeCell="H4" sqref="H4"/>
    </sheetView>
  </sheetViews>
  <sheetFormatPr defaultRowHeight="15" outlineLevelRow="1" x14ac:dyDescent="0.25"/>
  <cols>
    <col min="1" max="1" width="12.5703125" bestFit="1" customWidth="1"/>
    <col min="2" max="2" width="56.85546875" bestFit="1" customWidth="1"/>
    <col min="3" max="3" width="7" bestFit="1" customWidth="1"/>
    <col min="4" max="4" width="13.140625" bestFit="1" customWidth="1"/>
    <col min="8" max="8" width="11.85546875" customWidth="1"/>
    <col min="9" max="9" width="14.140625" customWidth="1"/>
    <col min="258" max="258" width="12.5703125" bestFit="1" customWidth="1"/>
    <col min="259" max="259" width="56.85546875" bestFit="1" customWidth="1"/>
    <col min="260" max="260" width="6.5703125" bestFit="1" customWidth="1"/>
    <col min="261" max="261" width="13.140625" bestFit="1" customWidth="1"/>
    <col min="514" max="514" width="12.5703125" bestFit="1" customWidth="1"/>
    <col min="515" max="515" width="56.85546875" bestFit="1" customWidth="1"/>
    <col min="516" max="516" width="6.5703125" bestFit="1" customWidth="1"/>
    <col min="517" max="517" width="13.140625" bestFit="1" customWidth="1"/>
    <col min="770" max="770" width="12.5703125" bestFit="1" customWidth="1"/>
    <col min="771" max="771" width="56.85546875" bestFit="1" customWidth="1"/>
    <col min="772" max="772" width="6.5703125" bestFit="1" customWidth="1"/>
    <col min="773" max="773" width="13.140625" bestFit="1" customWidth="1"/>
    <col min="1026" max="1026" width="12.5703125" bestFit="1" customWidth="1"/>
    <col min="1027" max="1027" width="56.85546875" bestFit="1" customWidth="1"/>
    <col min="1028" max="1028" width="6.5703125" bestFit="1" customWidth="1"/>
    <col min="1029" max="1029" width="13.140625" bestFit="1" customWidth="1"/>
    <col min="1282" max="1282" width="12.5703125" bestFit="1" customWidth="1"/>
    <col min="1283" max="1283" width="56.85546875" bestFit="1" customWidth="1"/>
    <col min="1284" max="1284" width="6.5703125" bestFit="1" customWidth="1"/>
    <col min="1285" max="1285" width="13.140625" bestFit="1" customWidth="1"/>
    <col min="1538" max="1538" width="12.5703125" bestFit="1" customWidth="1"/>
    <col min="1539" max="1539" width="56.85546875" bestFit="1" customWidth="1"/>
    <col min="1540" max="1540" width="6.5703125" bestFit="1" customWidth="1"/>
    <col min="1541" max="1541" width="13.140625" bestFit="1" customWidth="1"/>
    <col min="1794" max="1794" width="12.5703125" bestFit="1" customWidth="1"/>
    <col min="1795" max="1795" width="56.85546875" bestFit="1" customWidth="1"/>
    <col min="1796" max="1796" width="6.5703125" bestFit="1" customWidth="1"/>
    <col min="1797" max="1797" width="13.140625" bestFit="1" customWidth="1"/>
    <col min="2050" max="2050" width="12.5703125" bestFit="1" customWidth="1"/>
    <col min="2051" max="2051" width="56.85546875" bestFit="1" customWidth="1"/>
    <col min="2052" max="2052" width="6.5703125" bestFit="1" customWidth="1"/>
    <col min="2053" max="2053" width="13.140625" bestFit="1" customWidth="1"/>
    <col min="2306" max="2306" width="12.5703125" bestFit="1" customWidth="1"/>
    <col min="2307" max="2307" width="56.85546875" bestFit="1" customWidth="1"/>
    <col min="2308" max="2308" width="6.5703125" bestFit="1" customWidth="1"/>
    <col min="2309" max="2309" width="13.140625" bestFit="1" customWidth="1"/>
    <col min="2562" max="2562" width="12.5703125" bestFit="1" customWidth="1"/>
    <col min="2563" max="2563" width="56.85546875" bestFit="1" customWidth="1"/>
    <col min="2564" max="2564" width="6.5703125" bestFit="1" customWidth="1"/>
    <col min="2565" max="2565" width="13.140625" bestFit="1" customWidth="1"/>
    <col min="2818" max="2818" width="12.5703125" bestFit="1" customWidth="1"/>
    <col min="2819" max="2819" width="56.85546875" bestFit="1" customWidth="1"/>
    <col min="2820" max="2820" width="6.5703125" bestFit="1" customWidth="1"/>
    <col min="2821" max="2821" width="13.140625" bestFit="1" customWidth="1"/>
    <col min="3074" max="3074" width="12.5703125" bestFit="1" customWidth="1"/>
    <col min="3075" max="3075" width="56.85546875" bestFit="1" customWidth="1"/>
    <col min="3076" max="3076" width="6.5703125" bestFit="1" customWidth="1"/>
    <col min="3077" max="3077" width="13.140625" bestFit="1" customWidth="1"/>
    <col min="3330" max="3330" width="12.5703125" bestFit="1" customWidth="1"/>
    <col min="3331" max="3331" width="56.85546875" bestFit="1" customWidth="1"/>
    <col min="3332" max="3332" width="6.5703125" bestFit="1" customWidth="1"/>
    <col min="3333" max="3333" width="13.140625" bestFit="1" customWidth="1"/>
    <col min="3586" max="3586" width="12.5703125" bestFit="1" customWidth="1"/>
    <col min="3587" max="3587" width="56.85546875" bestFit="1" customWidth="1"/>
    <col min="3588" max="3588" width="6.5703125" bestFit="1" customWidth="1"/>
    <col min="3589" max="3589" width="13.140625" bestFit="1" customWidth="1"/>
    <col min="3842" max="3842" width="12.5703125" bestFit="1" customWidth="1"/>
    <col min="3843" max="3843" width="56.85546875" bestFit="1" customWidth="1"/>
    <col min="3844" max="3844" width="6.5703125" bestFit="1" customWidth="1"/>
    <col min="3845" max="3845" width="13.140625" bestFit="1" customWidth="1"/>
    <col min="4098" max="4098" width="12.5703125" bestFit="1" customWidth="1"/>
    <col min="4099" max="4099" width="56.85546875" bestFit="1" customWidth="1"/>
    <col min="4100" max="4100" width="6.5703125" bestFit="1" customWidth="1"/>
    <col min="4101" max="4101" width="13.140625" bestFit="1" customWidth="1"/>
    <col min="4354" max="4354" width="12.5703125" bestFit="1" customWidth="1"/>
    <col min="4355" max="4355" width="56.85546875" bestFit="1" customWidth="1"/>
    <col min="4356" max="4356" width="6.5703125" bestFit="1" customWidth="1"/>
    <col min="4357" max="4357" width="13.140625" bestFit="1" customWidth="1"/>
    <col min="4610" max="4610" width="12.5703125" bestFit="1" customWidth="1"/>
    <col min="4611" max="4611" width="56.85546875" bestFit="1" customWidth="1"/>
    <col min="4612" max="4612" width="6.5703125" bestFit="1" customWidth="1"/>
    <col min="4613" max="4613" width="13.140625" bestFit="1" customWidth="1"/>
    <col min="4866" max="4866" width="12.5703125" bestFit="1" customWidth="1"/>
    <col min="4867" max="4867" width="56.85546875" bestFit="1" customWidth="1"/>
    <col min="4868" max="4868" width="6.5703125" bestFit="1" customWidth="1"/>
    <col min="4869" max="4869" width="13.140625" bestFit="1" customWidth="1"/>
    <col min="5122" max="5122" width="12.5703125" bestFit="1" customWidth="1"/>
    <col min="5123" max="5123" width="56.85546875" bestFit="1" customWidth="1"/>
    <col min="5124" max="5124" width="6.5703125" bestFit="1" customWidth="1"/>
    <col min="5125" max="5125" width="13.140625" bestFit="1" customWidth="1"/>
    <col min="5378" max="5378" width="12.5703125" bestFit="1" customWidth="1"/>
    <col min="5379" max="5379" width="56.85546875" bestFit="1" customWidth="1"/>
    <col min="5380" max="5380" width="6.5703125" bestFit="1" customWidth="1"/>
    <col min="5381" max="5381" width="13.140625" bestFit="1" customWidth="1"/>
    <col min="5634" max="5634" width="12.5703125" bestFit="1" customWidth="1"/>
    <col min="5635" max="5635" width="56.85546875" bestFit="1" customWidth="1"/>
    <col min="5636" max="5636" width="6.5703125" bestFit="1" customWidth="1"/>
    <col min="5637" max="5637" width="13.140625" bestFit="1" customWidth="1"/>
    <col min="5890" max="5890" width="12.5703125" bestFit="1" customWidth="1"/>
    <col min="5891" max="5891" width="56.85546875" bestFit="1" customWidth="1"/>
    <col min="5892" max="5892" width="6.5703125" bestFit="1" customWidth="1"/>
    <col min="5893" max="5893" width="13.140625" bestFit="1" customWidth="1"/>
    <col min="6146" max="6146" width="12.5703125" bestFit="1" customWidth="1"/>
    <col min="6147" max="6147" width="56.85546875" bestFit="1" customWidth="1"/>
    <col min="6148" max="6148" width="6.5703125" bestFit="1" customWidth="1"/>
    <col min="6149" max="6149" width="13.140625" bestFit="1" customWidth="1"/>
    <col min="6402" max="6402" width="12.5703125" bestFit="1" customWidth="1"/>
    <col min="6403" max="6403" width="56.85546875" bestFit="1" customWidth="1"/>
    <col min="6404" max="6404" width="6.5703125" bestFit="1" customWidth="1"/>
    <col min="6405" max="6405" width="13.140625" bestFit="1" customWidth="1"/>
    <col min="6658" max="6658" width="12.5703125" bestFit="1" customWidth="1"/>
    <col min="6659" max="6659" width="56.85546875" bestFit="1" customWidth="1"/>
    <col min="6660" max="6660" width="6.5703125" bestFit="1" customWidth="1"/>
    <col min="6661" max="6661" width="13.140625" bestFit="1" customWidth="1"/>
    <col min="6914" max="6914" width="12.5703125" bestFit="1" customWidth="1"/>
    <col min="6915" max="6915" width="56.85546875" bestFit="1" customWidth="1"/>
    <col min="6916" max="6916" width="6.5703125" bestFit="1" customWidth="1"/>
    <col min="6917" max="6917" width="13.140625" bestFit="1" customWidth="1"/>
    <col min="7170" max="7170" width="12.5703125" bestFit="1" customWidth="1"/>
    <col min="7171" max="7171" width="56.85546875" bestFit="1" customWidth="1"/>
    <col min="7172" max="7172" width="6.5703125" bestFit="1" customWidth="1"/>
    <col min="7173" max="7173" width="13.140625" bestFit="1" customWidth="1"/>
    <col min="7426" max="7426" width="12.5703125" bestFit="1" customWidth="1"/>
    <col min="7427" max="7427" width="56.85546875" bestFit="1" customWidth="1"/>
    <col min="7428" max="7428" width="6.5703125" bestFit="1" customWidth="1"/>
    <col min="7429" max="7429" width="13.140625" bestFit="1" customWidth="1"/>
    <col min="7682" max="7682" width="12.5703125" bestFit="1" customWidth="1"/>
    <col min="7683" max="7683" width="56.85546875" bestFit="1" customWidth="1"/>
    <col min="7684" max="7684" width="6.5703125" bestFit="1" customWidth="1"/>
    <col min="7685" max="7685" width="13.140625" bestFit="1" customWidth="1"/>
    <col min="7938" max="7938" width="12.5703125" bestFit="1" customWidth="1"/>
    <col min="7939" max="7939" width="56.85546875" bestFit="1" customWidth="1"/>
    <col min="7940" max="7940" width="6.5703125" bestFit="1" customWidth="1"/>
    <col min="7941" max="7941" width="13.140625" bestFit="1" customWidth="1"/>
    <col min="8194" max="8194" width="12.5703125" bestFit="1" customWidth="1"/>
    <col min="8195" max="8195" width="56.85546875" bestFit="1" customWidth="1"/>
    <col min="8196" max="8196" width="6.5703125" bestFit="1" customWidth="1"/>
    <col min="8197" max="8197" width="13.140625" bestFit="1" customWidth="1"/>
    <col min="8450" max="8450" width="12.5703125" bestFit="1" customWidth="1"/>
    <col min="8451" max="8451" width="56.85546875" bestFit="1" customWidth="1"/>
    <col min="8452" max="8452" width="6.5703125" bestFit="1" customWidth="1"/>
    <col min="8453" max="8453" width="13.140625" bestFit="1" customWidth="1"/>
    <col min="8706" max="8706" width="12.5703125" bestFit="1" customWidth="1"/>
    <col min="8707" max="8707" width="56.85546875" bestFit="1" customWidth="1"/>
    <col min="8708" max="8708" width="6.5703125" bestFit="1" customWidth="1"/>
    <col min="8709" max="8709" width="13.140625" bestFit="1" customWidth="1"/>
    <col min="8962" max="8962" width="12.5703125" bestFit="1" customWidth="1"/>
    <col min="8963" max="8963" width="56.85546875" bestFit="1" customWidth="1"/>
    <col min="8964" max="8964" width="6.5703125" bestFit="1" customWidth="1"/>
    <col min="8965" max="8965" width="13.140625" bestFit="1" customWidth="1"/>
    <col min="9218" max="9218" width="12.5703125" bestFit="1" customWidth="1"/>
    <col min="9219" max="9219" width="56.85546875" bestFit="1" customWidth="1"/>
    <col min="9220" max="9220" width="6.5703125" bestFit="1" customWidth="1"/>
    <col min="9221" max="9221" width="13.140625" bestFit="1" customWidth="1"/>
    <col min="9474" max="9474" width="12.5703125" bestFit="1" customWidth="1"/>
    <col min="9475" max="9475" width="56.85546875" bestFit="1" customWidth="1"/>
    <col min="9476" max="9476" width="6.5703125" bestFit="1" customWidth="1"/>
    <col min="9477" max="9477" width="13.140625" bestFit="1" customWidth="1"/>
    <col min="9730" max="9730" width="12.5703125" bestFit="1" customWidth="1"/>
    <col min="9731" max="9731" width="56.85546875" bestFit="1" customWidth="1"/>
    <col min="9732" max="9732" width="6.5703125" bestFit="1" customWidth="1"/>
    <col min="9733" max="9733" width="13.140625" bestFit="1" customWidth="1"/>
    <col min="9986" max="9986" width="12.5703125" bestFit="1" customWidth="1"/>
    <col min="9987" max="9987" width="56.85546875" bestFit="1" customWidth="1"/>
    <col min="9988" max="9988" width="6.5703125" bestFit="1" customWidth="1"/>
    <col min="9989" max="9989" width="13.140625" bestFit="1" customWidth="1"/>
    <col min="10242" max="10242" width="12.5703125" bestFit="1" customWidth="1"/>
    <col min="10243" max="10243" width="56.85546875" bestFit="1" customWidth="1"/>
    <col min="10244" max="10244" width="6.5703125" bestFit="1" customWidth="1"/>
    <col min="10245" max="10245" width="13.140625" bestFit="1" customWidth="1"/>
    <col min="10498" max="10498" width="12.5703125" bestFit="1" customWidth="1"/>
    <col min="10499" max="10499" width="56.85546875" bestFit="1" customWidth="1"/>
    <col min="10500" max="10500" width="6.5703125" bestFit="1" customWidth="1"/>
    <col min="10501" max="10501" width="13.140625" bestFit="1" customWidth="1"/>
    <col min="10754" max="10754" width="12.5703125" bestFit="1" customWidth="1"/>
    <col min="10755" max="10755" width="56.85546875" bestFit="1" customWidth="1"/>
    <col min="10756" max="10756" width="6.5703125" bestFit="1" customWidth="1"/>
    <col min="10757" max="10757" width="13.140625" bestFit="1" customWidth="1"/>
    <col min="11010" max="11010" width="12.5703125" bestFit="1" customWidth="1"/>
    <col min="11011" max="11011" width="56.85546875" bestFit="1" customWidth="1"/>
    <col min="11012" max="11012" width="6.5703125" bestFit="1" customWidth="1"/>
    <col min="11013" max="11013" width="13.140625" bestFit="1" customWidth="1"/>
    <col min="11266" max="11266" width="12.5703125" bestFit="1" customWidth="1"/>
    <col min="11267" max="11267" width="56.85546875" bestFit="1" customWidth="1"/>
    <col min="11268" max="11268" width="6.5703125" bestFit="1" customWidth="1"/>
    <col min="11269" max="11269" width="13.140625" bestFit="1" customWidth="1"/>
    <col min="11522" max="11522" width="12.5703125" bestFit="1" customWidth="1"/>
    <col min="11523" max="11523" width="56.85546875" bestFit="1" customWidth="1"/>
    <col min="11524" max="11524" width="6.5703125" bestFit="1" customWidth="1"/>
    <col min="11525" max="11525" width="13.140625" bestFit="1" customWidth="1"/>
    <col min="11778" max="11778" width="12.5703125" bestFit="1" customWidth="1"/>
    <col min="11779" max="11779" width="56.85546875" bestFit="1" customWidth="1"/>
    <col min="11780" max="11780" width="6.5703125" bestFit="1" customWidth="1"/>
    <col min="11781" max="11781" width="13.140625" bestFit="1" customWidth="1"/>
    <col min="12034" max="12034" width="12.5703125" bestFit="1" customWidth="1"/>
    <col min="12035" max="12035" width="56.85546875" bestFit="1" customWidth="1"/>
    <col min="12036" max="12036" width="6.5703125" bestFit="1" customWidth="1"/>
    <col min="12037" max="12037" width="13.140625" bestFit="1" customWidth="1"/>
    <col min="12290" max="12290" width="12.5703125" bestFit="1" customWidth="1"/>
    <col min="12291" max="12291" width="56.85546875" bestFit="1" customWidth="1"/>
    <col min="12292" max="12292" width="6.5703125" bestFit="1" customWidth="1"/>
    <col min="12293" max="12293" width="13.140625" bestFit="1" customWidth="1"/>
    <col min="12546" max="12546" width="12.5703125" bestFit="1" customWidth="1"/>
    <col min="12547" max="12547" width="56.85546875" bestFit="1" customWidth="1"/>
    <col min="12548" max="12548" width="6.5703125" bestFit="1" customWidth="1"/>
    <col min="12549" max="12549" width="13.140625" bestFit="1" customWidth="1"/>
    <col min="12802" max="12802" width="12.5703125" bestFit="1" customWidth="1"/>
    <col min="12803" max="12803" width="56.85546875" bestFit="1" customWidth="1"/>
    <col min="12804" max="12804" width="6.5703125" bestFit="1" customWidth="1"/>
    <col min="12805" max="12805" width="13.140625" bestFit="1" customWidth="1"/>
    <col min="13058" max="13058" width="12.5703125" bestFit="1" customWidth="1"/>
    <col min="13059" max="13059" width="56.85546875" bestFit="1" customWidth="1"/>
    <col min="13060" max="13060" width="6.5703125" bestFit="1" customWidth="1"/>
    <col min="13061" max="13061" width="13.140625" bestFit="1" customWidth="1"/>
    <col min="13314" max="13314" width="12.5703125" bestFit="1" customWidth="1"/>
    <col min="13315" max="13315" width="56.85546875" bestFit="1" customWidth="1"/>
    <col min="13316" max="13316" width="6.5703125" bestFit="1" customWidth="1"/>
    <col min="13317" max="13317" width="13.140625" bestFit="1" customWidth="1"/>
    <col min="13570" max="13570" width="12.5703125" bestFit="1" customWidth="1"/>
    <col min="13571" max="13571" width="56.85546875" bestFit="1" customWidth="1"/>
    <col min="13572" max="13572" width="6.5703125" bestFit="1" customWidth="1"/>
    <col min="13573" max="13573" width="13.140625" bestFit="1" customWidth="1"/>
    <col min="13826" max="13826" width="12.5703125" bestFit="1" customWidth="1"/>
    <col min="13827" max="13827" width="56.85546875" bestFit="1" customWidth="1"/>
    <col min="13828" max="13828" width="6.5703125" bestFit="1" customWidth="1"/>
    <col min="13829" max="13829" width="13.140625" bestFit="1" customWidth="1"/>
    <col min="14082" max="14082" width="12.5703125" bestFit="1" customWidth="1"/>
    <col min="14083" max="14083" width="56.85546875" bestFit="1" customWidth="1"/>
    <col min="14084" max="14084" width="6.5703125" bestFit="1" customWidth="1"/>
    <col min="14085" max="14085" width="13.140625" bestFit="1" customWidth="1"/>
    <col min="14338" max="14338" width="12.5703125" bestFit="1" customWidth="1"/>
    <col min="14339" max="14339" width="56.85546875" bestFit="1" customWidth="1"/>
    <col min="14340" max="14340" width="6.5703125" bestFit="1" customWidth="1"/>
    <col min="14341" max="14341" width="13.140625" bestFit="1" customWidth="1"/>
    <col min="14594" max="14594" width="12.5703125" bestFit="1" customWidth="1"/>
    <col min="14595" max="14595" width="56.85546875" bestFit="1" customWidth="1"/>
    <col min="14596" max="14596" width="6.5703125" bestFit="1" customWidth="1"/>
    <col min="14597" max="14597" width="13.140625" bestFit="1" customWidth="1"/>
    <col min="14850" max="14850" width="12.5703125" bestFit="1" customWidth="1"/>
    <col min="14851" max="14851" width="56.85546875" bestFit="1" customWidth="1"/>
    <col min="14852" max="14852" width="6.5703125" bestFit="1" customWidth="1"/>
    <col min="14853" max="14853" width="13.140625" bestFit="1" customWidth="1"/>
    <col min="15106" max="15106" width="12.5703125" bestFit="1" customWidth="1"/>
    <col min="15107" max="15107" width="56.85546875" bestFit="1" customWidth="1"/>
    <col min="15108" max="15108" width="6.5703125" bestFit="1" customWidth="1"/>
    <col min="15109" max="15109" width="13.140625" bestFit="1" customWidth="1"/>
    <col min="15362" max="15362" width="12.5703125" bestFit="1" customWidth="1"/>
    <col min="15363" max="15363" width="56.85546875" bestFit="1" customWidth="1"/>
    <col min="15364" max="15364" width="6.5703125" bestFit="1" customWidth="1"/>
    <col min="15365" max="15365" width="13.140625" bestFit="1" customWidth="1"/>
    <col min="15618" max="15618" width="12.5703125" bestFit="1" customWidth="1"/>
    <col min="15619" max="15619" width="56.85546875" bestFit="1" customWidth="1"/>
    <col min="15620" max="15620" width="6.5703125" bestFit="1" customWidth="1"/>
    <col min="15621" max="15621" width="13.140625" bestFit="1" customWidth="1"/>
    <col min="15874" max="15874" width="12.5703125" bestFit="1" customWidth="1"/>
    <col min="15875" max="15875" width="56.85546875" bestFit="1" customWidth="1"/>
    <col min="15876" max="15876" width="6.5703125" bestFit="1" customWidth="1"/>
    <col min="15877" max="15877" width="13.140625" bestFit="1" customWidth="1"/>
    <col min="16130" max="16130" width="12.5703125" bestFit="1" customWidth="1"/>
    <col min="16131" max="16131" width="56.85546875" bestFit="1" customWidth="1"/>
    <col min="16132" max="16132" width="6.5703125" bestFit="1" customWidth="1"/>
    <col min="16133" max="16133" width="13.140625" bestFit="1" customWidth="1"/>
  </cols>
  <sheetData>
    <row r="1" spans="1:16" x14ac:dyDescent="0.25">
      <c r="C1" t="s">
        <v>226</v>
      </c>
      <c r="D1">
        <v>400</v>
      </c>
      <c r="E1" t="s">
        <v>227</v>
      </c>
      <c r="F1">
        <v>0.73</v>
      </c>
    </row>
    <row r="2" spans="1:16" ht="15.75" x14ac:dyDescent="0.25">
      <c r="A2" s="54" t="s">
        <v>166</v>
      </c>
      <c r="B2" s="62"/>
      <c r="C2" s="201" t="s">
        <v>124</v>
      </c>
      <c r="D2" s="202"/>
      <c r="E2" s="202"/>
      <c r="F2" s="202"/>
      <c r="G2" s="203"/>
      <c r="H2" s="105" t="s">
        <v>236</v>
      </c>
      <c r="I2" s="105"/>
      <c r="K2" t="s">
        <v>228</v>
      </c>
      <c r="L2" t="s">
        <v>237</v>
      </c>
    </row>
    <row r="3" spans="1:16" ht="15.75" x14ac:dyDescent="0.25">
      <c r="A3" s="55" t="s">
        <v>125</v>
      </c>
      <c r="B3" s="62" t="s">
        <v>126</v>
      </c>
      <c r="C3" s="63" t="s">
        <v>127</v>
      </c>
      <c r="D3" s="63" t="s">
        <v>128</v>
      </c>
      <c r="E3" s="63" t="s">
        <v>129</v>
      </c>
      <c r="F3" s="63" t="s">
        <v>130</v>
      </c>
      <c r="G3" s="63" t="s">
        <v>131</v>
      </c>
      <c r="J3" t="s">
        <v>238</v>
      </c>
      <c r="K3">
        <v>0.85</v>
      </c>
      <c r="L3">
        <v>0.06</v>
      </c>
    </row>
    <row r="4" spans="1:16" ht="15.75" x14ac:dyDescent="0.25">
      <c r="A4" s="64">
        <v>22</v>
      </c>
      <c r="B4" s="62" t="s">
        <v>132</v>
      </c>
      <c r="C4" s="63">
        <v>818</v>
      </c>
      <c r="D4" s="63">
        <v>281</v>
      </c>
      <c r="E4" s="63">
        <v>547</v>
      </c>
      <c r="F4" s="63">
        <v>302</v>
      </c>
      <c r="G4" s="63">
        <f>SUM(C4:F4)</f>
        <v>1948</v>
      </c>
      <c r="H4" s="106">
        <f>((C5+C8+(K3*C4))*$E$35+(C4*L3*$E$34))*D1*F1*365*$I$36*$J$36*0.000001*0.001</f>
        <v>0.66241905200742845</v>
      </c>
      <c r="I4" s="106" t="s">
        <v>250</v>
      </c>
      <c r="J4" t="s">
        <v>239</v>
      </c>
      <c r="K4">
        <v>1</v>
      </c>
      <c r="L4">
        <v>0</v>
      </c>
    </row>
    <row r="5" spans="1:16" ht="15.75" x14ac:dyDescent="0.25">
      <c r="A5" s="64">
        <v>24</v>
      </c>
      <c r="B5" s="62" t="s">
        <v>135</v>
      </c>
      <c r="C5" s="63">
        <v>314</v>
      </c>
      <c r="D5" s="63">
        <v>51</v>
      </c>
      <c r="E5" s="63">
        <v>226</v>
      </c>
      <c r="F5" s="63">
        <v>187</v>
      </c>
      <c r="G5" s="63">
        <f>SUM(C5:F5)</f>
        <v>778</v>
      </c>
      <c r="J5" t="s">
        <v>240</v>
      </c>
      <c r="K5">
        <v>1</v>
      </c>
      <c r="L5">
        <v>0</v>
      </c>
    </row>
    <row r="6" spans="1:16" ht="31.5" x14ac:dyDescent="0.25">
      <c r="A6" s="64">
        <v>25</v>
      </c>
      <c r="B6" s="62" t="s">
        <v>139</v>
      </c>
      <c r="C6" s="63">
        <v>1547</v>
      </c>
      <c r="D6" s="63">
        <v>333</v>
      </c>
      <c r="E6" s="63">
        <v>1063</v>
      </c>
      <c r="F6" s="63">
        <v>1822</v>
      </c>
      <c r="G6" s="63">
        <f>SUM(C6:F6)</f>
        <v>4765</v>
      </c>
    </row>
    <row r="7" spans="1:16" ht="15.75" x14ac:dyDescent="0.25">
      <c r="A7" s="64"/>
      <c r="B7" s="62" t="s">
        <v>141</v>
      </c>
      <c r="C7" s="63"/>
      <c r="D7" s="63"/>
      <c r="E7" s="63"/>
      <c r="F7" s="63">
        <v>2034</v>
      </c>
      <c r="G7" s="63">
        <f>SUM(C7:F7)</f>
        <v>2034</v>
      </c>
      <c r="H7" s="101" t="s">
        <v>241</v>
      </c>
      <c r="I7" s="101"/>
      <c r="J7" s="101"/>
    </row>
    <row r="8" spans="1:16" ht="15.75" x14ac:dyDescent="0.25">
      <c r="A8" s="64"/>
      <c r="B8" s="62" t="s">
        <v>167</v>
      </c>
      <c r="C8" s="63">
        <f>SUM(C6:C7)</f>
        <v>1547</v>
      </c>
      <c r="D8" s="63">
        <f>SUM(D6:D7)</f>
        <v>333</v>
      </c>
      <c r="E8" s="63">
        <f>SUM(E6:E7)</f>
        <v>1063</v>
      </c>
      <c r="F8" s="63">
        <f>SUM(F6:F7)</f>
        <v>3856</v>
      </c>
      <c r="G8" s="63">
        <f>SUM(C8:F8)</f>
        <v>6799</v>
      </c>
      <c r="K8" t="s">
        <v>242</v>
      </c>
      <c r="L8" t="s">
        <v>243</v>
      </c>
      <c r="M8" t="s">
        <v>251</v>
      </c>
      <c r="N8" t="s">
        <v>251</v>
      </c>
      <c r="P8" t="s">
        <v>226</v>
      </c>
    </row>
    <row r="9" spans="1:16" ht="15.75" x14ac:dyDescent="0.25">
      <c r="A9" s="65" t="s">
        <v>143</v>
      </c>
      <c r="B9" s="66"/>
      <c r="C9" s="66">
        <f>C4+C5+C8</f>
        <v>2679</v>
      </c>
      <c r="D9" s="66">
        <f>D4+D5+D8</f>
        <v>665</v>
      </c>
      <c r="E9" s="66">
        <f>E4+E5+E8</f>
        <v>1836</v>
      </c>
      <c r="F9" s="66">
        <f>F4+F5+F8</f>
        <v>4345</v>
      </c>
      <c r="G9" s="66">
        <f>G4+G5+G8</f>
        <v>9525</v>
      </c>
      <c r="H9" s="100">
        <f>H11+H12+H13</f>
        <v>3.0296080819828219</v>
      </c>
      <c r="I9" s="100" t="s">
        <v>250</v>
      </c>
      <c r="J9" t="s">
        <v>238</v>
      </c>
      <c r="K9">
        <v>1</v>
      </c>
      <c r="L9">
        <v>1</v>
      </c>
      <c r="M9">
        <v>0.09</v>
      </c>
      <c r="N9">
        <v>0.06</v>
      </c>
      <c r="O9" t="s">
        <v>245</v>
      </c>
      <c r="P9">
        <v>75</v>
      </c>
    </row>
    <row r="10" spans="1:16" ht="15.75" x14ac:dyDescent="0.25">
      <c r="A10" s="107"/>
      <c r="B10" s="108"/>
      <c r="C10" s="108"/>
      <c r="D10" s="108"/>
      <c r="E10" s="108"/>
      <c r="F10" s="108"/>
      <c r="G10" s="108"/>
      <c r="J10" t="s">
        <v>239</v>
      </c>
      <c r="K10">
        <v>1</v>
      </c>
      <c r="L10">
        <v>0</v>
      </c>
      <c r="O10" t="s">
        <v>246</v>
      </c>
      <c r="P10">
        <v>150</v>
      </c>
    </row>
    <row r="11" spans="1:16" ht="15.75" x14ac:dyDescent="0.25">
      <c r="A11" s="107"/>
      <c r="B11" s="108"/>
      <c r="C11" s="108"/>
      <c r="D11" s="108"/>
      <c r="E11" s="108"/>
      <c r="F11" s="108"/>
      <c r="G11" s="108"/>
      <c r="H11" s="34">
        <f>G7*P12*F1*$K$14*$I$36*$J$36*365*0.001*0.000001</f>
        <v>2.5379179791428577</v>
      </c>
      <c r="I11" t="s">
        <v>243</v>
      </c>
      <c r="J11" t="s">
        <v>240</v>
      </c>
      <c r="K11">
        <v>1</v>
      </c>
      <c r="L11">
        <v>0</v>
      </c>
      <c r="O11" t="s">
        <v>247</v>
      </c>
      <c r="P11">
        <v>200</v>
      </c>
    </row>
    <row r="12" spans="1:16" ht="15.75" x14ac:dyDescent="0.25">
      <c r="A12" s="107"/>
      <c r="B12" s="108"/>
      <c r="C12" s="108"/>
      <c r="D12" s="108"/>
      <c r="E12" s="108"/>
      <c r="F12" s="108"/>
      <c r="G12" s="108"/>
      <c r="H12">
        <f>((D9*P9)+((E8+E5+(E4*K3))*P10)+((F5+F6+(F4*K3))*P11))*F1*$E$35*$I$36*$J$36*365*0.001*0.000001</f>
        <v>0.47795427684517861</v>
      </c>
      <c r="I12" t="s">
        <v>242</v>
      </c>
      <c r="J12" t="s">
        <v>181</v>
      </c>
      <c r="K12">
        <v>1</v>
      </c>
      <c r="O12" t="s">
        <v>248</v>
      </c>
      <c r="P12">
        <v>500</v>
      </c>
    </row>
    <row r="13" spans="1:16" x14ac:dyDescent="0.25">
      <c r="H13" s="34">
        <f>(E4*P10*M9+F4*P11*N9)*F1*365*0.001*$E$34*$I$36*$J$36*0.000001</f>
        <v>1.3735825994785716E-2</v>
      </c>
      <c r="I13" t="s">
        <v>251</v>
      </c>
    </row>
    <row r="14" spans="1:16" x14ac:dyDescent="0.25">
      <c r="J14" t="s">
        <v>249</v>
      </c>
      <c r="K14">
        <v>0.02</v>
      </c>
    </row>
    <row r="15" spans="1:16" x14ac:dyDescent="0.25">
      <c r="A15" s="54" t="s">
        <v>166</v>
      </c>
      <c r="B15" s="55"/>
      <c r="C15" s="201" t="s">
        <v>144</v>
      </c>
      <c r="D15" s="202"/>
      <c r="E15" s="202"/>
      <c r="F15" s="202"/>
      <c r="G15" s="203"/>
    </row>
    <row r="16" spans="1:16" x14ac:dyDescent="0.25">
      <c r="A16" s="55" t="s">
        <v>125</v>
      </c>
      <c r="B16" s="55" t="s">
        <v>126</v>
      </c>
      <c r="C16" s="55" t="s">
        <v>145</v>
      </c>
      <c r="D16" s="55" t="s">
        <v>168</v>
      </c>
      <c r="E16" s="55" t="s">
        <v>147</v>
      </c>
      <c r="F16" s="55" t="s">
        <v>148</v>
      </c>
      <c r="G16" s="55" t="s">
        <v>131</v>
      </c>
      <c r="H16" s="34" t="s">
        <v>228</v>
      </c>
      <c r="I16" s="34" t="s">
        <v>229</v>
      </c>
      <c r="J16" s="34" t="s">
        <v>230</v>
      </c>
      <c r="K16" s="34" t="s">
        <v>231</v>
      </c>
    </row>
    <row r="17" spans="1:11" x14ac:dyDescent="0.25">
      <c r="A17" s="55">
        <v>22</v>
      </c>
      <c r="B17" s="55" t="s">
        <v>132</v>
      </c>
      <c r="C17" s="55">
        <v>41</v>
      </c>
      <c r="D17" s="55">
        <v>239</v>
      </c>
      <c r="E17" s="55">
        <v>385</v>
      </c>
      <c r="F17" s="55">
        <v>601</v>
      </c>
      <c r="G17" s="55">
        <v>1266</v>
      </c>
      <c r="H17" s="34">
        <v>1</v>
      </c>
      <c r="I17" s="34">
        <v>0</v>
      </c>
      <c r="J17" s="34">
        <v>0</v>
      </c>
      <c r="K17" s="34">
        <f>SUM(H17:J17)</f>
        <v>1</v>
      </c>
    </row>
    <row r="18" spans="1:11" x14ac:dyDescent="0.25">
      <c r="A18" s="55">
        <v>24</v>
      </c>
      <c r="B18" s="55" t="s">
        <v>135</v>
      </c>
      <c r="C18" s="55">
        <v>111</v>
      </c>
      <c r="D18" s="55">
        <v>484</v>
      </c>
      <c r="E18" s="55">
        <v>867</v>
      </c>
      <c r="F18" s="55">
        <v>2071</v>
      </c>
      <c r="G18" s="55">
        <v>3533</v>
      </c>
      <c r="H18" s="34">
        <v>0.5</v>
      </c>
      <c r="I18" s="34">
        <v>0.25</v>
      </c>
      <c r="J18" s="34">
        <v>0.25</v>
      </c>
      <c r="K18" s="34">
        <f>SUM(H18:J18)</f>
        <v>1</v>
      </c>
    </row>
    <row r="19" spans="1:11" x14ac:dyDescent="0.25">
      <c r="A19" s="55">
        <v>25</v>
      </c>
      <c r="B19" s="55" t="s">
        <v>139</v>
      </c>
      <c r="C19" s="55">
        <v>376</v>
      </c>
      <c r="D19" s="55">
        <v>3087</v>
      </c>
      <c r="E19" s="55">
        <v>4820</v>
      </c>
      <c r="F19" s="55">
        <v>9245</v>
      </c>
      <c r="G19" s="55">
        <v>17528</v>
      </c>
      <c r="H19" s="34">
        <v>0.5</v>
      </c>
      <c r="I19" s="34">
        <v>0</v>
      </c>
      <c r="J19" s="34">
        <v>0.5</v>
      </c>
      <c r="K19" s="34">
        <f>SUM(H19:J19)</f>
        <v>1</v>
      </c>
    </row>
    <row r="20" spans="1:11" x14ac:dyDescent="0.25">
      <c r="A20" s="57" t="s">
        <v>143</v>
      </c>
      <c r="B20" s="57"/>
      <c r="C20" s="57">
        <v>528</v>
      </c>
      <c r="D20" s="57">
        <v>3810</v>
      </c>
      <c r="E20" s="57">
        <v>6072</v>
      </c>
      <c r="F20" s="57">
        <v>11917</v>
      </c>
      <c r="G20" s="57">
        <v>22327</v>
      </c>
    </row>
    <row r="23" spans="1:11" hidden="1" outlineLevel="1" x14ac:dyDescent="0.25"/>
    <row r="24" spans="1:11" hidden="1" outlineLevel="1" x14ac:dyDescent="0.25"/>
    <row r="25" spans="1:11" hidden="1" outlineLevel="1" x14ac:dyDescent="0.25"/>
    <row r="26" spans="1:11" hidden="1" outlineLevel="1" x14ac:dyDescent="0.25"/>
    <row r="27" spans="1:11" hidden="1" outlineLevel="1" x14ac:dyDescent="0.25"/>
    <row r="28" spans="1:11" hidden="1" outlineLevel="1" x14ac:dyDescent="0.25"/>
    <row r="29" spans="1:11" hidden="1" outlineLevel="1" x14ac:dyDescent="0.25"/>
    <row r="30" spans="1:11" collapsed="1" x14ac:dyDescent="0.25"/>
    <row r="31" spans="1:11" x14ac:dyDescent="0.25">
      <c r="B31" t="s">
        <v>226</v>
      </c>
      <c r="C31">
        <v>150</v>
      </c>
      <c r="D31">
        <v>125</v>
      </c>
      <c r="E31">
        <v>13</v>
      </c>
      <c r="F31">
        <v>90</v>
      </c>
    </row>
    <row r="32" spans="1:11" x14ac:dyDescent="0.25">
      <c r="B32" t="s">
        <v>227</v>
      </c>
      <c r="C32">
        <v>0.55000000000000004</v>
      </c>
      <c r="D32">
        <v>0.55000000000000004</v>
      </c>
      <c r="E32">
        <v>1.57</v>
      </c>
      <c r="F32">
        <v>1.57</v>
      </c>
    </row>
    <row r="34" spans="2:10" x14ac:dyDescent="0.25">
      <c r="B34" t="s">
        <v>232</v>
      </c>
      <c r="C34">
        <f>(((C18*$C$31*$C$32)+(D18*$D$31*$D$32)+(E18*$E$31*$E$32)+(F18*$F$31*$F$32))*I18)*365/1000</f>
        <v>32189.374637500005</v>
      </c>
      <c r="E34">
        <v>0.01</v>
      </c>
      <c r="G34">
        <f>C34*E34</f>
        <v>321.89374637500003</v>
      </c>
    </row>
    <row r="35" spans="2:10" x14ac:dyDescent="0.25">
      <c r="B35" t="s">
        <v>233</v>
      </c>
      <c r="C35">
        <f>((((C17*$C$31*$C$32)+(D17*$D$31*$D$32)+(E17*$E$31*$E$32)+(F17*$F$31*$F$32))*H17)+(((C18*$C$31*$C$32)+(D18*$D$31*$D$32)+(E18*$E$31*$E$32)+(F18*$F$31*$F$32))*H18)+(((C19*$C$31*$C$32)+(D19*$D$31*$D$32)+(E19*$E$31*$E$32)+(F19*$F$31*$F$32))*H19))*365/1000</f>
        <v>406225.29364999995</v>
      </c>
      <c r="E35">
        <v>5.0000000000000001E-3</v>
      </c>
      <c r="G35">
        <f>C35*E35</f>
        <v>2031.1264682499998</v>
      </c>
    </row>
    <row r="36" spans="2:10" x14ac:dyDescent="0.25">
      <c r="B36" t="s">
        <v>234</v>
      </c>
      <c r="C36">
        <f>C34+C35</f>
        <v>438414.66828749992</v>
      </c>
      <c r="I36">
        <v>298</v>
      </c>
      <c r="J36">
        <f>44/28</f>
        <v>1.5714285714285714</v>
      </c>
    </row>
    <row r="38" spans="2:10" x14ac:dyDescent="0.25">
      <c r="C38">
        <f>(G34+G35)*I36*J36/1000000</f>
        <v>1.1018857519343928</v>
      </c>
    </row>
  </sheetData>
  <mergeCells count="2">
    <mergeCell ref="C2:G2"/>
    <mergeCell ref="C15:G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B10" workbookViewId="0">
      <selection activeCell="C40" sqref="C40"/>
    </sheetView>
  </sheetViews>
  <sheetFormatPr defaultRowHeight="15" outlineLevelRow="1" x14ac:dyDescent="0.25"/>
  <cols>
    <col min="1" max="1" width="11.140625" bestFit="1" customWidth="1"/>
    <col min="2" max="2" width="56.85546875" bestFit="1" customWidth="1"/>
    <col min="4" max="4" width="11.5703125" bestFit="1" customWidth="1"/>
    <col min="257" max="257" width="11.140625" bestFit="1" customWidth="1"/>
    <col min="258" max="258" width="56.85546875" bestFit="1" customWidth="1"/>
    <col min="260" max="260" width="11.5703125" bestFit="1" customWidth="1"/>
    <col min="513" max="513" width="11.140625" bestFit="1" customWidth="1"/>
    <col min="514" max="514" width="56.85546875" bestFit="1" customWidth="1"/>
    <col min="516" max="516" width="11.5703125" bestFit="1" customWidth="1"/>
    <col min="769" max="769" width="11.140625" bestFit="1" customWidth="1"/>
    <col min="770" max="770" width="56.85546875" bestFit="1" customWidth="1"/>
    <col min="772" max="772" width="11.5703125" bestFit="1" customWidth="1"/>
    <col min="1025" max="1025" width="11.140625" bestFit="1" customWidth="1"/>
    <col min="1026" max="1026" width="56.85546875" bestFit="1" customWidth="1"/>
    <col min="1028" max="1028" width="11.5703125" bestFit="1" customWidth="1"/>
    <col min="1281" max="1281" width="11.140625" bestFit="1" customWidth="1"/>
    <col min="1282" max="1282" width="56.85546875" bestFit="1" customWidth="1"/>
    <col min="1284" max="1284" width="11.5703125" bestFit="1" customWidth="1"/>
    <col min="1537" max="1537" width="11.140625" bestFit="1" customWidth="1"/>
    <col min="1538" max="1538" width="56.85546875" bestFit="1" customWidth="1"/>
    <col min="1540" max="1540" width="11.5703125" bestFit="1" customWidth="1"/>
    <col min="1793" max="1793" width="11.140625" bestFit="1" customWidth="1"/>
    <col min="1794" max="1794" width="56.85546875" bestFit="1" customWidth="1"/>
    <col min="1796" max="1796" width="11.5703125" bestFit="1" customWidth="1"/>
    <col min="2049" max="2049" width="11.140625" bestFit="1" customWidth="1"/>
    <col min="2050" max="2050" width="56.85546875" bestFit="1" customWidth="1"/>
    <col min="2052" max="2052" width="11.5703125" bestFit="1" customWidth="1"/>
    <col min="2305" max="2305" width="11.140625" bestFit="1" customWidth="1"/>
    <col min="2306" max="2306" width="56.85546875" bestFit="1" customWidth="1"/>
    <col min="2308" max="2308" width="11.5703125" bestFit="1" customWidth="1"/>
    <col min="2561" max="2561" width="11.140625" bestFit="1" customWidth="1"/>
    <col min="2562" max="2562" width="56.85546875" bestFit="1" customWidth="1"/>
    <col min="2564" max="2564" width="11.5703125" bestFit="1" customWidth="1"/>
    <col min="2817" max="2817" width="11.140625" bestFit="1" customWidth="1"/>
    <col min="2818" max="2818" width="56.85546875" bestFit="1" customWidth="1"/>
    <col min="2820" max="2820" width="11.5703125" bestFit="1" customWidth="1"/>
    <col min="3073" max="3073" width="11.140625" bestFit="1" customWidth="1"/>
    <col min="3074" max="3074" width="56.85546875" bestFit="1" customWidth="1"/>
    <col min="3076" max="3076" width="11.5703125" bestFit="1" customWidth="1"/>
    <col min="3329" max="3329" width="11.140625" bestFit="1" customWidth="1"/>
    <col min="3330" max="3330" width="56.85546875" bestFit="1" customWidth="1"/>
    <col min="3332" max="3332" width="11.5703125" bestFit="1" customWidth="1"/>
    <col min="3585" max="3585" width="11.140625" bestFit="1" customWidth="1"/>
    <col min="3586" max="3586" width="56.85546875" bestFit="1" customWidth="1"/>
    <col min="3588" max="3588" width="11.5703125" bestFit="1" customWidth="1"/>
    <col min="3841" max="3841" width="11.140625" bestFit="1" customWidth="1"/>
    <col min="3842" max="3842" width="56.85546875" bestFit="1" customWidth="1"/>
    <col min="3844" max="3844" width="11.5703125" bestFit="1" customWidth="1"/>
    <col min="4097" max="4097" width="11.140625" bestFit="1" customWidth="1"/>
    <col min="4098" max="4098" width="56.85546875" bestFit="1" customWidth="1"/>
    <col min="4100" max="4100" width="11.5703125" bestFit="1" customWidth="1"/>
    <col min="4353" max="4353" width="11.140625" bestFit="1" customWidth="1"/>
    <col min="4354" max="4354" width="56.85546875" bestFit="1" customWidth="1"/>
    <col min="4356" max="4356" width="11.5703125" bestFit="1" customWidth="1"/>
    <col min="4609" max="4609" width="11.140625" bestFit="1" customWidth="1"/>
    <col min="4610" max="4610" width="56.85546875" bestFit="1" customWidth="1"/>
    <col min="4612" max="4612" width="11.5703125" bestFit="1" customWidth="1"/>
    <col min="4865" max="4865" width="11.140625" bestFit="1" customWidth="1"/>
    <col min="4866" max="4866" width="56.85546875" bestFit="1" customWidth="1"/>
    <col min="4868" max="4868" width="11.5703125" bestFit="1" customWidth="1"/>
    <col min="5121" max="5121" width="11.140625" bestFit="1" customWidth="1"/>
    <col min="5122" max="5122" width="56.85546875" bestFit="1" customWidth="1"/>
    <col min="5124" max="5124" width="11.5703125" bestFit="1" customWidth="1"/>
    <col min="5377" max="5377" width="11.140625" bestFit="1" customWidth="1"/>
    <col min="5378" max="5378" width="56.85546875" bestFit="1" customWidth="1"/>
    <col min="5380" max="5380" width="11.5703125" bestFit="1" customWidth="1"/>
    <col min="5633" max="5633" width="11.140625" bestFit="1" customWidth="1"/>
    <col min="5634" max="5634" width="56.85546875" bestFit="1" customWidth="1"/>
    <col min="5636" max="5636" width="11.5703125" bestFit="1" customWidth="1"/>
    <col min="5889" max="5889" width="11.140625" bestFit="1" customWidth="1"/>
    <col min="5890" max="5890" width="56.85546875" bestFit="1" customWidth="1"/>
    <col min="5892" max="5892" width="11.5703125" bestFit="1" customWidth="1"/>
    <col min="6145" max="6145" width="11.140625" bestFit="1" customWidth="1"/>
    <col min="6146" max="6146" width="56.85546875" bestFit="1" customWidth="1"/>
    <col min="6148" max="6148" width="11.5703125" bestFit="1" customWidth="1"/>
    <col min="6401" max="6401" width="11.140625" bestFit="1" customWidth="1"/>
    <col min="6402" max="6402" width="56.85546875" bestFit="1" customWidth="1"/>
    <col min="6404" max="6404" width="11.5703125" bestFit="1" customWidth="1"/>
    <col min="6657" max="6657" width="11.140625" bestFit="1" customWidth="1"/>
    <col min="6658" max="6658" width="56.85546875" bestFit="1" customWidth="1"/>
    <col min="6660" max="6660" width="11.5703125" bestFit="1" customWidth="1"/>
    <col min="6913" max="6913" width="11.140625" bestFit="1" customWidth="1"/>
    <col min="6914" max="6914" width="56.85546875" bestFit="1" customWidth="1"/>
    <col min="6916" max="6916" width="11.5703125" bestFit="1" customWidth="1"/>
    <col min="7169" max="7169" width="11.140625" bestFit="1" customWidth="1"/>
    <col min="7170" max="7170" width="56.85546875" bestFit="1" customWidth="1"/>
    <col min="7172" max="7172" width="11.5703125" bestFit="1" customWidth="1"/>
    <col min="7425" max="7425" width="11.140625" bestFit="1" customWidth="1"/>
    <col min="7426" max="7426" width="56.85546875" bestFit="1" customWidth="1"/>
    <col min="7428" max="7428" width="11.5703125" bestFit="1" customWidth="1"/>
    <col min="7681" max="7681" width="11.140625" bestFit="1" customWidth="1"/>
    <col min="7682" max="7682" width="56.85546875" bestFit="1" customWidth="1"/>
    <col min="7684" max="7684" width="11.5703125" bestFit="1" customWidth="1"/>
    <col min="7937" max="7937" width="11.140625" bestFit="1" customWidth="1"/>
    <col min="7938" max="7938" width="56.85546875" bestFit="1" customWidth="1"/>
    <col min="7940" max="7940" width="11.5703125" bestFit="1" customWidth="1"/>
    <col min="8193" max="8193" width="11.140625" bestFit="1" customWidth="1"/>
    <col min="8194" max="8194" width="56.85546875" bestFit="1" customWidth="1"/>
    <col min="8196" max="8196" width="11.5703125" bestFit="1" customWidth="1"/>
    <col min="8449" max="8449" width="11.140625" bestFit="1" customWidth="1"/>
    <col min="8450" max="8450" width="56.85546875" bestFit="1" customWidth="1"/>
    <col min="8452" max="8452" width="11.5703125" bestFit="1" customWidth="1"/>
    <col min="8705" max="8705" width="11.140625" bestFit="1" customWidth="1"/>
    <col min="8706" max="8706" width="56.85546875" bestFit="1" customWidth="1"/>
    <col min="8708" max="8708" width="11.5703125" bestFit="1" customWidth="1"/>
    <col min="8961" max="8961" width="11.140625" bestFit="1" customWidth="1"/>
    <col min="8962" max="8962" width="56.85546875" bestFit="1" customWidth="1"/>
    <col min="8964" max="8964" width="11.5703125" bestFit="1" customWidth="1"/>
    <col min="9217" max="9217" width="11.140625" bestFit="1" customWidth="1"/>
    <col min="9218" max="9218" width="56.85546875" bestFit="1" customWidth="1"/>
    <col min="9220" max="9220" width="11.5703125" bestFit="1" customWidth="1"/>
    <col min="9473" max="9473" width="11.140625" bestFit="1" customWidth="1"/>
    <col min="9474" max="9474" width="56.85546875" bestFit="1" customWidth="1"/>
    <col min="9476" max="9476" width="11.5703125" bestFit="1" customWidth="1"/>
    <col min="9729" max="9729" width="11.140625" bestFit="1" customWidth="1"/>
    <col min="9730" max="9730" width="56.85546875" bestFit="1" customWidth="1"/>
    <col min="9732" max="9732" width="11.5703125" bestFit="1" customWidth="1"/>
    <col min="9985" max="9985" width="11.140625" bestFit="1" customWidth="1"/>
    <col min="9986" max="9986" width="56.85546875" bestFit="1" customWidth="1"/>
    <col min="9988" max="9988" width="11.5703125" bestFit="1" customWidth="1"/>
    <col min="10241" max="10241" width="11.140625" bestFit="1" customWidth="1"/>
    <col min="10242" max="10242" width="56.85546875" bestFit="1" customWidth="1"/>
    <col min="10244" max="10244" width="11.5703125" bestFit="1" customWidth="1"/>
    <col min="10497" max="10497" width="11.140625" bestFit="1" customWidth="1"/>
    <col min="10498" max="10498" width="56.85546875" bestFit="1" customWidth="1"/>
    <col min="10500" max="10500" width="11.5703125" bestFit="1" customWidth="1"/>
    <col min="10753" max="10753" width="11.140625" bestFit="1" customWidth="1"/>
    <col min="10754" max="10754" width="56.85546875" bestFit="1" customWidth="1"/>
    <col min="10756" max="10756" width="11.5703125" bestFit="1" customWidth="1"/>
    <col min="11009" max="11009" width="11.140625" bestFit="1" customWidth="1"/>
    <col min="11010" max="11010" width="56.85546875" bestFit="1" customWidth="1"/>
    <col min="11012" max="11012" width="11.5703125" bestFit="1" customWidth="1"/>
    <col min="11265" max="11265" width="11.140625" bestFit="1" customWidth="1"/>
    <col min="11266" max="11266" width="56.85546875" bestFit="1" customWidth="1"/>
    <col min="11268" max="11268" width="11.5703125" bestFit="1" customWidth="1"/>
    <col min="11521" max="11521" width="11.140625" bestFit="1" customWidth="1"/>
    <col min="11522" max="11522" width="56.85546875" bestFit="1" customWidth="1"/>
    <col min="11524" max="11524" width="11.5703125" bestFit="1" customWidth="1"/>
    <col min="11777" max="11777" width="11.140625" bestFit="1" customWidth="1"/>
    <col min="11778" max="11778" width="56.85546875" bestFit="1" customWidth="1"/>
    <col min="11780" max="11780" width="11.5703125" bestFit="1" customWidth="1"/>
    <col min="12033" max="12033" width="11.140625" bestFit="1" customWidth="1"/>
    <col min="12034" max="12034" width="56.85546875" bestFit="1" customWidth="1"/>
    <col min="12036" max="12036" width="11.5703125" bestFit="1" customWidth="1"/>
    <col min="12289" max="12289" width="11.140625" bestFit="1" customWidth="1"/>
    <col min="12290" max="12290" width="56.85546875" bestFit="1" customWidth="1"/>
    <col min="12292" max="12292" width="11.5703125" bestFit="1" customWidth="1"/>
    <col min="12545" max="12545" width="11.140625" bestFit="1" customWidth="1"/>
    <col min="12546" max="12546" width="56.85546875" bestFit="1" customWidth="1"/>
    <col min="12548" max="12548" width="11.5703125" bestFit="1" customWidth="1"/>
    <col min="12801" max="12801" width="11.140625" bestFit="1" customWidth="1"/>
    <col min="12802" max="12802" width="56.85546875" bestFit="1" customWidth="1"/>
    <col min="12804" max="12804" width="11.5703125" bestFit="1" customWidth="1"/>
    <col min="13057" max="13057" width="11.140625" bestFit="1" customWidth="1"/>
    <col min="13058" max="13058" width="56.85546875" bestFit="1" customWidth="1"/>
    <col min="13060" max="13060" width="11.5703125" bestFit="1" customWidth="1"/>
    <col min="13313" max="13313" width="11.140625" bestFit="1" customWidth="1"/>
    <col min="13314" max="13314" width="56.85546875" bestFit="1" customWidth="1"/>
    <col min="13316" max="13316" width="11.5703125" bestFit="1" customWidth="1"/>
    <col min="13569" max="13569" width="11.140625" bestFit="1" customWidth="1"/>
    <col min="13570" max="13570" width="56.85546875" bestFit="1" customWidth="1"/>
    <col min="13572" max="13572" width="11.5703125" bestFit="1" customWidth="1"/>
    <col min="13825" max="13825" width="11.140625" bestFit="1" customWidth="1"/>
    <col min="13826" max="13826" width="56.85546875" bestFit="1" customWidth="1"/>
    <col min="13828" max="13828" width="11.5703125" bestFit="1" customWidth="1"/>
    <col min="14081" max="14081" width="11.140625" bestFit="1" customWidth="1"/>
    <col min="14082" max="14082" width="56.85546875" bestFit="1" customWidth="1"/>
    <col min="14084" max="14084" width="11.5703125" bestFit="1" customWidth="1"/>
    <col min="14337" max="14337" width="11.140625" bestFit="1" customWidth="1"/>
    <col min="14338" max="14338" width="56.85546875" bestFit="1" customWidth="1"/>
    <col min="14340" max="14340" width="11.5703125" bestFit="1" customWidth="1"/>
    <col min="14593" max="14593" width="11.140625" bestFit="1" customWidth="1"/>
    <col min="14594" max="14594" width="56.85546875" bestFit="1" customWidth="1"/>
    <col min="14596" max="14596" width="11.5703125" bestFit="1" customWidth="1"/>
    <col min="14849" max="14849" width="11.140625" bestFit="1" customWidth="1"/>
    <col min="14850" max="14850" width="56.85546875" bestFit="1" customWidth="1"/>
    <col min="14852" max="14852" width="11.5703125" bestFit="1" customWidth="1"/>
    <col min="15105" max="15105" width="11.140625" bestFit="1" customWidth="1"/>
    <col min="15106" max="15106" width="56.85546875" bestFit="1" customWidth="1"/>
    <col min="15108" max="15108" width="11.5703125" bestFit="1" customWidth="1"/>
    <col min="15361" max="15361" width="11.140625" bestFit="1" customWidth="1"/>
    <col min="15362" max="15362" width="56.85546875" bestFit="1" customWidth="1"/>
    <col min="15364" max="15364" width="11.5703125" bestFit="1" customWidth="1"/>
    <col min="15617" max="15617" width="11.140625" bestFit="1" customWidth="1"/>
    <col min="15618" max="15618" width="56.85546875" bestFit="1" customWidth="1"/>
    <col min="15620" max="15620" width="11.5703125" bestFit="1" customWidth="1"/>
    <col min="15873" max="15873" width="11.140625" bestFit="1" customWidth="1"/>
    <col min="15874" max="15874" width="56.85546875" bestFit="1" customWidth="1"/>
    <col min="15876" max="15876" width="11.5703125" bestFit="1" customWidth="1"/>
    <col min="16129" max="16129" width="11.140625" bestFit="1" customWidth="1"/>
    <col min="16130" max="16130" width="56.85546875" bestFit="1" customWidth="1"/>
    <col min="16132" max="16132" width="11.5703125" bestFit="1" customWidth="1"/>
  </cols>
  <sheetData>
    <row r="1" spans="1:16" x14ac:dyDescent="0.25">
      <c r="C1" t="s">
        <v>226</v>
      </c>
      <c r="D1">
        <v>400</v>
      </c>
      <c r="E1" t="s">
        <v>227</v>
      </c>
      <c r="F1">
        <v>0.73</v>
      </c>
    </row>
    <row r="2" spans="1:16" x14ac:dyDescent="0.25">
      <c r="A2" s="54" t="s">
        <v>169</v>
      </c>
      <c r="B2" s="55"/>
      <c r="C2" s="201" t="s">
        <v>124</v>
      </c>
      <c r="D2" s="202"/>
      <c r="E2" s="202"/>
      <c r="F2" s="202"/>
      <c r="G2" s="203"/>
      <c r="H2" s="105" t="s">
        <v>236</v>
      </c>
      <c r="I2" s="105"/>
      <c r="J2" s="105"/>
      <c r="K2" t="s">
        <v>228</v>
      </c>
      <c r="L2" t="s">
        <v>237</v>
      </c>
    </row>
    <row r="3" spans="1:16" x14ac:dyDescent="0.25">
      <c r="A3" s="55" t="s">
        <v>125</v>
      </c>
      <c r="B3" s="55" t="s">
        <v>126</v>
      </c>
      <c r="C3" s="55" t="s">
        <v>127</v>
      </c>
      <c r="D3" s="55" t="s">
        <v>128</v>
      </c>
      <c r="E3" s="55" t="s">
        <v>129</v>
      </c>
      <c r="F3" s="55" t="s">
        <v>130</v>
      </c>
      <c r="G3" s="55" t="s">
        <v>131</v>
      </c>
      <c r="J3" t="s">
        <v>238</v>
      </c>
      <c r="K3">
        <v>0.85</v>
      </c>
      <c r="L3">
        <v>0.06</v>
      </c>
    </row>
    <row r="4" spans="1:16" x14ac:dyDescent="0.25">
      <c r="A4" s="55">
        <v>22</v>
      </c>
      <c r="B4" s="55" t="s">
        <v>132</v>
      </c>
      <c r="C4" s="55">
        <v>845</v>
      </c>
      <c r="D4" s="55">
        <v>236</v>
      </c>
      <c r="E4" s="55">
        <v>579</v>
      </c>
      <c r="F4" s="55">
        <v>229</v>
      </c>
      <c r="G4" s="55">
        <v>1889</v>
      </c>
      <c r="H4">
        <f>((C5+C8+(K3*C4))*$E$36+(C4*L3*$E$35))*D1*F1*365*$I$37*$J$37*0.000001*0.001</f>
        <v>0.62378630054714279</v>
      </c>
      <c r="J4" t="s">
        <v>239</v>
      </c>
      <c r="K4">
        <v>1</v>
      </c>
      <c r="L4">
        <v>0</v>
      </c>
    </row>
    <row r="5" spans="1:16" x14ac:dyDescent="0.25">
      <c r="A5" s="55">
        <v>24</v>
      </c>
      <c r="B5" s="55" t="s">
        <v>135</v>
      </c>
      <c r="C5" s="55">
        <v>251</v>
      </c>
      <c r="D5" s="55">
        <v>48</v>
      </c>
      <c r="E5" s="55">
        <v>203</v>
      </c>
      <c r="F5" s="55">
        <v>157</v>
      </c>
      <c r="G5" s="55">
        <v>659</v>
      </c>
      <c r="J5" t="s">
        <v>240</v>
      </c>
      <c r="K5">
        <v>1</v>
      </c>
      <c r="L5">
        <v>0</v>
      </c>
    </row>
    <row r="6" spans="1:16" x14ac:dyDescent="0.25">
      <c r="A6" s="55">
        <v>25</v>
      </c>
      <c r="B6" s="55" t="s">
        <v>139</v>
      </c>
      <c r="C6" s="55">
        <v>1429</v>
      </c>
      <c r="D6" s="55">
        <v>348</v>
      </c>
      <c r="E6" s="55">
        <v>947</v>
      </c>
      <c r="F6" s="55">
        <v>1324</v>
      </c>
      <c r="G6" s="55">
        <v>4048</v>
      </c>
    </row>
    <row r="7" spans="1:16" x14ac:dyDescent="0.25">
      <c r="A7" s="55"/>
      <c r="B7" s="55" t="s">
        <v>141</v>
      </c>
      <c r="C7" s="55"/>
      <c r="D7" s="55"/>
      <c r="E7" s="55"/>
      <c r="F7" s="55">
        <v>1920</v>
      </c>
      <c r="G7" s="55">
        <v>1920</v>
      </c>
      <c r="H7" s="101" t="s">
        <v>241</v>
      </c>
      <c r="I7" s="101"/>
      <c r="J7" s="101"/>
    </row>
    <row r="8" spans="1:16" x14ac:dyDescent="0.25">
      <c r="A8" s="55"/>
      <c r="B8" s="55" t="s">
        <v>167</v>
      </c>
      <c r="C8" s="55">
        <v>1429</v>
      </c>
      <c r="D8" s="55">
        <v>348</v>
      </c>
      <c r="E8" s="55">
        <v>947</v>
      </c>
      <c r="F8" s="55">
        <v>3244</v>
      </c>
      <c r="G8" s="55">
        <v>5968</v>
      </c>
      <c r="K8" t="s">
        <v>242</v>
      </c>
      <c r="L8" t="s">
        <v>243</v>
      </c>
      <c r="M8" t="s">
        <v>251</v>
      </c>
      <c r="N8" t="s">
        <v>251</v>
      </c>
      <c r="P8" t="s">
        <v>226</v>
      </c>
    </row>
    <row r="9" spans="1:16" x14ac:dyDescent="0.25">
      <c r="A9" s="57" t="s">
        <v>143</v>
      </c>
      <c r="B9" s="57"/>
      <c r="C9" s="57">
        <v>2525</v>
      </c>
      <c r="D9" s="57">
        <v>632</v>
      </c>
      <c r="E9" s="57">
        <v>1729</v>
      </c>
      <c r="F9" s="57">
        <v>3630</v>
      </c>
      <c r="G9" s="57">
        <v>8516</v>
      </c>
      <c r="H9" s="101">
        <f>H11+H12+H13</f>
        <v>2.7979301092132496</v>
      </c>
      <c r="I9" s="101" t="s">
        <v>250</v>
      </c>
      <c r="J9" t="s">
        <v>238</v>
      </c>
      <c r="K9">
        <v>1</v>
      </c>
      <c r="L9">
        <v>1</v>
      </c>
      <c r="M9">
        <v>0.06</v>
      </c>
      <c r="N9">
        <v>0.06</v>
      </c>
      <c r="O9" t="s">
        <v>245</v>
      </c>
      <c r="P9">
        <v>75</v>
      </c>
    </row>
    <row r="10" spans="1:16" x14ac:dyDescent="0.25">
      <c r="A10" s="103"/>
      <c r="B10" s="103"/>
      <c r="C10" s="103"/>
      <c r="D10" s="103"/>
      <c r="E10" s="103"/>
      <c r="F10" s="103"/>
      <c r="G10" s="103"/>
      <c r="J10" t="s">
        <v>239</v>
      </c>
      <c r="K10">
        <v>1</v>
      </c>
      <c r="L10">
        <v>0</v>
      </c>
      <c r="O10" t="s">
        <v>246</v>
      </c>
      <c r="P10">
        <v>150</v>
      </c>
    </row>
    <row r="11" spans="1:16" x14ac:dyDescent="0.25">
      <c r="A11" s="103"/>
      <c r="B11" s="103"/>
      <c r="C11" s="103"/>
      <c r="D11" s="103"/>
      <c r="E11" s="103"/>
      <c r="F11" s="103"/>
      <c r="G11" s="103"/>
      <c r="H11">
        <f>F7*P12*F1*$K$14*$I$37*$J$37*365*0.001*0.000001</f>
        <v>2.3956747885714282</v>
      </c>
      <c r="I11" t="s">
        <v>243</v>
      </c>
      <c r="J11" t="s">
        <v>240</v>
      </c>
      <c r="K11">
        <v>1</v>
      </c>
      <c r="L11">
        <v>0</v>
      </c>
      <c r="O11" t="s">
        <v>247</v>
      </c>
      <c r="P11">
        <v>200</v>
      </c>
    </row>
    <row r="12" spans="1:16" x14ac:dyDescent="0.25">
      <c r="A12" s="103"/>
      <c r="B12" s="103"/>
      <c r="C12" s="103"/>
      <c r="D12" s="103"/>
      <c r="E12" s="103"/>
      <c r="F12" s="103"/>
      <c r="G12" s="103"/>
      <c r="H12">
        <f>((D9*P9)+((E8+E5+(E4*K3))*P10)+((F5+F6+(F4*K3))*P11))*F1*$E$36*$I$37*$J$37*365*0.001*0.000001</f>
        <v>0.3923244999948215</v>
      </c>
      <c r="I12" t="s">
        <v>242</v>
      </c>
      <c r="J12" t="s">
        <v>181</v>
      </c>
      <c r="K12">
        <v>1</v>
      </c>
      <c r="O12" t="s">
        <v>248</v>
      </c>
      <c r="P12">
        <v>500</v>
      </c>
    </row>
    <row r="13" spans="1:16" x14ac:dyDescent="0.25">
      <c r="A13" s="103"/>
      <c r="B13" s="103"/>
      <c r="C13" s="103"/>
      <c r="D13" s="103"/>
      <c r="E13" s="103"/>
      <c r="F13" s="103"/>
      <c r="G13" s="103"/>
      <c r="H13">
        <f>(E4*P10*M9+F4*P11*N9)*F1*365*0.001*$E$35*$I$37*$J$37*0.000001</f>
        <v>9.9308206470000004E-3</v>
      </c>
      <c r="I13" t="s">
        <v>251</v>
      </c>
    </row>
    <row r="14" spans="1:16" x14ac:dyDescent="0.25">
      <c r="J14" t="s">
        <v>249</v>
      </c>
      <c r="K14">
        <v>0.02</v>
      </c>
    </row>
    <row r="15" spans="1:16" x14ac:dyDescent="0.25">
      <c r="A15" s="54" t="s">
        <v>169</v>
      </c>
      <c r="B15" s="55"/>
      <c r="C15" s="201" t="s">
        <v>144</v>
      </c>
      <c r="D15" s="202"/>
      <c r="E15" s="202"/>
      <c r="F15" s="202"/>
      <c r="G15" s="203"/>
    </row>
    <row r="16" spans="1:16" x14ac:dyDescent="0.25">
      <c r="A16" s="55" t="s">
        <v>125</v>
      </c>
      <c r="B16" s="55" t="s">
        <v>126</v>
      </c>
      <c r="C16" s="55" t="s">
        <v>145</v>
      </c>
      <c r="D16" s="55" t="s">
        <v>146</v>
      </c>
      <c r="E16" s="55" t="s">
        <v>147</v>
      </c>
      <c r="F16" s="55" t="s">
        <v>148</v>
      </c>
      <c r="G16" s="55" t="s">
        <v>131</v>
      </c>
      <c r="H16" s="34" t="s">
        <v>228</v>
      </c>
      <c r="I16" s="34" t="s">
        <v>229</v>
      </c>
      <c r="J16" s="34" t="s">
        <v>230</v>
      </c>
      <c r="K16" s="34" t="s">
        <v>231</v>
      </c>
      <c r="L16" s="34"/>
    </row>
    <row r="17" spans="1:12" x14ac:dyDescent="0.25">
      <c r="A17" s="55">
        <v>22</v>
      </c>
      <c r="B17" s="55" t="s">
        <v>132</v>
      </c>
      <c r="C17" s="55">
        <v>36</v>
      </c>
      <c r="D17" s="55">
        <v>256</v>
      </c>
      <c r="E17" s="55">
        <v>411</v>
      </c>
      <c r="F17" s="55">
        <v>640</v>
      </c>
      <c r="G17" s="55">
        <v>1343</v>
      </c>
      <c r="H17" s="34">
        <v>1</v>
      </c>
      <c r="I17" s="34">
        <v>0</v>
      </c>
      <c r="J17" s="34">
        <v>0</v>
      </c>
      <c r="K17" s="34">
        <f>SUM(H17:J17)</f>
        <v>1</v>
      </c>
      <c r="L17" s="34"/>
    </row>
    <row r="18" spans="1:12" x14ac:dyDescent="0.25">
      <c r="A18" s="55">
        <v>24</v>
      </c>
      <c r="B18" s="55" t="s">
        <v>135</v>
      </c>
      <c r="C18" s="55">
        <v>75</v>
      </c>
      <c r="D18" s="55">
        <v>394</v>
      </c>
      <c r="E18" s="55">
        <v>675</v>
      </c>
      <c r="F18" s="55">
        <v>2211</v>
      </c>
      <c r="G18" s="55">
        <v>3355</v>
      </c>
      <c r="H18" s="34">
        <v>0.5</v>
      </c>
      <c r="I18" s="34">
        <v>0.25</v>
      </c>
      <c r="J18" s="34">
        <v>0.25</v>
      </c>
      <c r="K18" s="34">
        <f>SUM(H18:J18)</f>
        <v>1</v>
      </c>
      <c r="L18" s="34"/>
    </row>
    <row r="19" spans="1:12" x14ac:dyDescent="0.25">
      <c r="A19" s="55">
        <v>25</v>
      </c>
      <c r="B19" s="55" t="s">
        <v>139</v>
      </c>
      <c r="C19" s="55">
        <v>398</v>
      </c>
      <c r="D19" s="55">
        <v>2714</v>
      </c>
      <c r="E19" s="55">
        <v>3961</v>
      </c>
      <c r="F19" s="55">
        <v>11514</v>
      </c>
      <c r="G19" s="55">
        <v>18587</v>
      </c>
      <c r="H19" s="34">
        <v>0.5</v>
      </c>
      <c r="I19" s="34">
        <v>0</v>
      </c>
      <c r="J19" s="34">
        <v>0.5</v>
      </c>
      <c r="K19" s="34">
        <f>SUM(H19:J19)</f>
        <v>1</v>
      </c>
      <c r="L19" s="34"/>
    </row>
    <row r="20" spans="1:12" x14ac:dyDescent="0.25">
      <c r="A20" s="57" t="s">
        <v>143</v>
      </c>
      <c r="B20" s="57"/>
      <c r="C20" s="57">
        <v>509</v>
      </c>
      <c r="D20" s="57">
        <v>3364</v>
      </c>
      <c r="E20" s="57">
        <v>5047</v>
      </c>
      <c r="F20" s="57">
        <v>14365</v>
      </c>
      <c r="G20" s="57">
        <v>23285</v>
      </c>
    </row>
    <row r="22" spans="1:12" hidden="1" outlineLevel="1" x14ac:dyDescent="0.25"/>
    <row r="23" spans="1:12" hidden="1" outlineLevel="1" x14ac:dyDescent="0.25"/>
    <row r="24" spans="1:12" hidden="1" outlineLevel="1" x14ac:dyDescent="0.25"/>
    <row r="25" spans="1:12" hidden="1" outlineLevel="1" x14ac:dyDescent="0.25"/>
    <row r="26" spans="1:12" hidden="1" outlineLevel="1" x14ac:dyDescent="0.25"/>
    <row r="27" spans="1:12" hidden="1" outlineLevel="1" x14ac:dyDescent="0.25"/>
    <row r="28" spans="1:12" collapsed="1" x14ac:dyDescent="0.25"/>
    <row r="32" spans="1:12" x14ac:dyDescent="0.25">
      <c r="B32" t="s">
        <v>226</v>
      </c>
      <c r="C32">
        <v>150</v>
      </c>
      <c r="D32">
        <v>125</v>
      </c>
      <c r="E32">
        <v>13</v>
      </c>
      <c r="F32">
        <v>90</v>
      </c>
    </row>
    <row r="33" spans="2:10" x14ac:dyDescent="0.25">
      <c r="B33" t="s">
        <v>227</v>
      </c>
      <c r="C33">
        <v>0.55000000000000004</v>
      </c>
      <c r="D33">
        <v>0.55000000000000004</v>
      </c>
      <c r="E33">
        <v>1.57</v>
      </c>
      <c r="F33">
        <v>1.57</v>
      </c>
    </row>
    <row r="35" spans="2:10" x14ac:dyDescent="0.25">
      <c r="B35" t="s">
        <v>232</v>
      </c>
      <c r="C35">
        <f>(((C18*$C$32*$C$33)+(D18*$D$32*$D$33)+(E18*$E$32*$E$33)+(F18*$F$32*$F$33))*I18)*365/1000</f>
        <v>32801.277062499998</v>
      </c>
      <c r="E35">
        <v>0.01</v>
      </c>
      <c r="G35">
        <f>C35*E35</f>
        <v>328.01277062499997</v>
      </c>
    </row>
    <row r="36" spans="2:10" x14ac:dyDescent="0.25">
      <c r="B36" t="s">
        <v>233</v>
      </c>
      <c r="C36">
        <f>((((C18*$C$32*$C$33)+(D18*$D$32*$D$33)+(E18*$E$32*$E$33)+(F18*$F$32*$F$33))*H18)+(((C19*$C$32*$C$33)+(D19*$D$32*$D$33)+(E19*$E$32*$E$33)+(F19*$F$32*$F$33))*H19)+(((C17*$C$32*$C$33)+(D17*$D$32*$D$33)+(E17*$E$32*$E$33)+(F17*$F$32*$F$33))*H17))*365/1000</f>
        <v>460893.12484999996</v>
      </c>
      <c r="E36">
        <v>5.0000000000000001E-3</v>
      </c>
      <c r="G36">
        <f>C36*E36</f>
        <v>2304.46562425</v>
      </c>
    </row>
    <row r="37" spans="2:10" x14ac:dyDescent="0.25">
      <c r="B37" t="s">
        <v>234</v>
      </c>
      <c r="C37">
        <f>C35+C36</f>
        <v>493694.40191249998</v>
      </c>
      <c r="I37">
        <v>298</v>
      </c>
      <c r="J37">
        <f>44/28</f>
        <v>1.5714285714285714</v>
      </c>
    </row>
    <row r="39" spans="2:10" x14ac:dyDescent="0.25">
      <c r="C39">
        <f>(G35+G36)*I37*J37/1000000</f>
        <v>1.23275202548575</v>
      </c>
    </row>
  </sheetData>
  <mergeCells count="2">
    <mergeCell ref="C2:G2"/>
    <mergeCell ref="C15:G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C1" workbookViewId="0">
      <selection activeCell="H7" sqref="H7:P14"/>
    </sheetView>
  </sheetViews>
  <sheetFormatPr defaultRowHeight="15" outlineLevelRow="1" x14ac:dyDescent="0.25"/>
  <cols>
    <col min="1" max="1" width="11.140625" bestFit="1" customWidth="1"/>
    <col min="2" max="2" width="56.85546875" bestFit="1" customWidth="1"/>
    <col min="4" max="4" width="11.5703125" bestFit="1" customWidth="1"/>
    <col min="257" max="257" width="11.140625" bestFit="1" customWidth="1"/>
    <col min="258" max="258" width="56.85546875" bestFit="1" customWidth="1"/>
    <col min="260" max="260" width="11.5703125" bestFit="1" customWidth="1"/>
    <col min="513" max="513" width="11.140625" bestFit="1" customWidth="1"/>
    <col min="514" max="514" width="56.85546875" bestFit="1" customWidth="1"/>
    <col min="516" max="516" width="11.5703125" bestFit="1" customWidth="1"/>
    <col min="769" max="769" width="11.140625" bestFit="1" customWidth="1"/>
    <col min="770" max="770" width="56.85546875" bestFit="1" customWidth="1"/>
    <col min="772" max="772" width="11.5703125" bestFit="1" customWidth="1"/>
    <col min="1025" max="1025" width="11.140625" bestFit="1" customWidth="1"/>
    <col min="1026" max="1026" width="56.85546875" bestFit="1" customWidth="1"/>
    <col min="1028" max="1028" width="11.5703125" bestFit="1" customWidth="1"/>
    <col min="1281" max="1281" width="11.140625" bestFit="1" customWidth="1"/>
    <col min="1282" max="1282" width="56.85546875" bestFit="1" customWidth="1"/>
    <col min="1284" max="1284" width="11.5703125" bestFit="1" customWidth="1"/>
    <col min="1537" max="1537" width="11.140625" bestFit="1" customWidth="1"/>
    <col min="1538" max="1538" width="56.85546875" bestFit="1" customWidth="1"/>
    <col min="1540" max="1540" width="11.5703125" bestFit="1" customWidth="1"/>
    <col min="1793" max="1793" width="11.140625" bestFit="1" customWidth="1"/>
    <col min="1794" max="1794" width="56.85546875" bestFit="1" customWidth="1"/>
    <col min="1796" max="1796" width="11.5703125" bestFit="1" customWidth="1"/>
    <col min="2049" max="2049" width="11.140625" bestFit="1" customWidth="1"/>
    <col min="2050" max="2050" width="56.85546875" bestFit="1" customWidth="1"/>
    <col min="2052" max="2052" width="11.5703125" bestFit="1" customWidth="1"/>
    <col min="2305" max="2305" width="11.140625" bestFit="1" customWidth="1"/>
    <col min="2306" max="2306" width="56.85546875" bestFit="1" customWidth="1"/>
    <col min="2308" max="2308" width="11.5703125" bestFit="1" customWidth="1"/>
    <col min="2561" max="2561" width="11.140625" bestFit="1" customWidth="1"/>
    <col min="2562" max="2562" width="56.85546875" bestFit="1" customWidth="1"/>
    <col min="2564" max="2564" width="11.5703125" bestFit="1" customWidth="1"/>
    <col min="2817" max="2817" width="11.140625" bestFit="1" customWidth="1"/>
    <col min="2818" max="2818" width="56.85546875" bestFit="1" customWidth="1"/>
    <col min="2820" max="2820" width="11.5703125" bestFit="1" customWidth="1"/>
    <col min="3073" max="3073" width="11.140625" bestFit="1" customWidth="1"/>
    <col min="3074" max="3074" width="56.85546875" bestFit="1" customWidth="1"/>
    <col min="3076" max="3076" width="11.5703125" bestFit="1" customWidth="1"/>
    <col min="3329" max="3329" width="11.140625" bestFit="1" customWidth="1"/>
    <col min="3330" max="3330" width="56.85546875" bestFit="1" customWidth="1"/>
    <col min="3332" max="3332" width="11.5703125" bestFit="1" customWidth="1"/>
    <col min="3585" max="3585" width="11.140625" bestFit="1" customWidth="1"/>
    <col min="3586" max="3586" width="56.85546875" bestFit="1" customWidth="1"/>
    <col min="3588" max="3588" width="11.5703125" bestFit="1" customWidth="1"/>
    <col min="3841" max="3841" width="11.140625" bestFit="1" customWidth="1"/>
    <col min="3842" max="3842" width="56.85546875" bestFit="1" customWidth="1"/>
    <col min="3844" max="3844" width="11.5703125" bestFit="1" customWidth="1"/>
    <col min="4097" max="4097" width="11.140625" bestFit="1" customWidth="1"/>
    <col min="4098" max="4098" width="56.85546875" bestFit="1" customWidth="1"/>
    <col min="4100" max="4100" width="11.5703125" bestFit="1" customWidth="1"/>
    <col min="4353" max="4353" width="11.140625" bestFit="1" customWidth="1"/>
    <col min="4354" max="4354" width="56.85546875" bestFit="1" customWidth="1"/>
    <col min="4356" max="4356" width="11.5703125" bestFit="1" customWidth="1"/>
    <col min="4609" max="4609" width="11.140625" bestFit="1" customWidth="1"/>
    <col min="4610" max="4610" width="56.85546875" bestFit="1" customWidth="1"/>
    <col min="4612" max="4612" width="11.5703125" bestFit="1" customWidth="1"/>
    <col min="4865" max="4865" width="11.140625" bestFit="1" customWidth="1"/>
    <col min="4866" max="4866" width="56.85546875" bestFit="1" customWidth="1"/>
    <col min="4868" max="4868" width="11.5703125" bestFit="1" customWidth="1"/>
    <col min="5121" max="5121" width="11.140625" bestFit="1" customWidth="1"/>
    <col min="5122" max="5122" width="56.85546875" bestFit="1" customWidth="1"/>
    <col min="5124" max="5124" width="11.5703125" bestFit="1" customWidth="1"/>
    <col min="5377" max="5377" width="11.140625" bestFit="1" customWidth="1"/>
    <col min="5378" max="5378" width="56.85546875" bestFit="1" customWidth="1"/>
    <col min="5380" max="5380" width="11.5703125" bestFit="1" customWidth="1"/>
    <col min="5633" max="5633" width="11.140625" bestFit="1" customWidth="1"/>
    <col min="5634" max="5634" width="56.85546875" bestFit="1" customWidth="1"/>
    <col min="5636" max="5636" width="11.5703125" bestFit="1" customWidth="1"/>
    <col min="5889" max="5889" width="11.140625" bestFit="1" customWidth="1"/>
    <col min="5890" max="5890" width="56.85546875" bestFit="1" customWidth="1"/>
    <col min="5892" max="5892" width="11.5703125" bestFit="1" customWidth="1"/>
    <col min="6145" max="6145" width="11.140625" bestFit="1" customWidth="1"/>
    <col min="6146" max="6146" width="56.85546875" bestFit="1" customWidth="1"/>
    <col min="6148" max="6148" width="11.5703125" bestFit="1" customWidth="1"/>
    <col min="6401" max="6401" width="11.140625" bestFit="1" customWidth="1"/>
    <col min="6402" max="6402" width="56.85546875" bestFit="1" customWidth="1"/>
    <col min="6404" max="6404" width="11.5703125" bestFit="1" customWidth="1"/>
    <col min="6657" max="6657" width="11.140625" bestFit="1" customWidth="1"/>
    <col min="6658" max="6658" width="56.85546875" bestFit="1" customWidth="1"/>
    <col min="6660" max="6660" width="11.5703125" bestFit="1" customWidth="1"/>
    <col min="6913" max="6913" width="11.140625" bestFit="1" customWidth="1"/>
    <col min="6914" max="6914" width="56.85546875" bestFit="1" customWidth="1"/>
    <col min="6916" max="6916" width="11.5703125" bestFit="1" customWidth="1"/>
    <col min="7169" max="7169" width="11.140625" bestFit="1" customWidth="1"/>
    <col min="7170" max="7170" width="56.85546875" bestFit="1" customWidth="1"/>
    <col min="7172" max="7172" width="11.5703125" bestFit="1" customWidth="1"/>
    <col min="7425" max="7425" width="11.140625" bestFit="1" customWidth="1"/>
    <col min="7426" max="7426" width="56.85546875" bestFit="1" customWidth="1"/>
    <col min="7428" max="7428" width="11.5703125" bestFit="1" customWidth="1"/>
    <col min="7681" max="7681" width="11.140625" bestFit="1" customWidth="1"/>
    <col min="7682" max="7682" width="56.85546875" bestFit="1" customWidth="1"/>
    <col min="7684" max="7684" width="11.5703125" bestFit="1" customWidth="1"/>
    <col min="7937" max="7937" width="11.140625" bestFit="1" customWidth="1"/>
    <col min="7938" max="7938" width="56.85546875" bestFit="1" customWidth="1"/>
    <col min="7940" max="7940" width="11.5703125" bestFit="1" customWidth="1"/>
    <col min="8193" max="8193" width="11.140625" bestFit="1" customWidth="1"/>
    <col min="8194" max="8194" width="56.85546875" bestFit="1" customWidth="1"/>
    <col min="8196" max="8196" width="11.5703125" bestFit="1" customWidth="1"/>
    <col min="8449" max="8449" width="11.140625" bestFit="1" customWidth="1"/>
    <col min="8450" max="8450" width="56.85546875" bestFit="1" customWidth="1"/>
    <col min="8452" max="8452" width="11.5703125" bestFit="1" customWidth="1"/>
    <col min="8705" max="8705" width="11.140625" bestFit="1" customWidth="1"/>
    <col min="8706" max="8706" width="56.85546875" bestFit="1" customWidth="1"/>
    <col min="8708" max="8708" width="11.5703125" bestFit="1" customWidth="1"/>
    <col min="8961" max="8961" width="11.140625" bestFit="1" customWidth="1"/>
    <col min="8962" max="8962" width="56.85546875" bestFit="1" customWidth="1"/>
    <col min="8964" max="8964" width="11.5703125" bestFit="1" customWidth="1"/>
    <col min="9217" max="9217" width="11.140625" bestFit="1" customWidth="1"/>
    <col min="9218" max="9218" width="56.85546875" bestFit="1" customWidth="1"/>
    <col min="9220" max="9220" width="11.5703125" bestFit="1" customWidth="1"/>
    <col min="9473" max="9473" width="11.140625" bestFit="1" customWidth="1"/>
    <col min="9474" max="9474" width="56.85546875" bestFit="1" customWidth="1"/>
    <col min="9476" max="9476" width="11.5703125" bestFit="1" customWidth="1"/>
    <col min="9729" max="9729" width="11.140625" bestFit="1" customWidth="1"/>
    <col min="9730" max="9730" width="56.85546875" bestFit="1" customWidth="1"/>
    <col min="9732" max="9732" width="11.5703125" bestFit="1" customWidth="1"/>
    <col min="9985" max="9985" width="11.140625" bestFit="1" customWidth="1"/>
    <col min="9986" max="9986" width="56.85546875" bestFit="1" customWidth="1"/>
    <col min="9988" max="9988" width="11.5703125" bestFit="1" customWidth="1"/>
    <col min="10241" max="10241" width="11.140625" bestFit="1" customWidth="1"/>
    <col min="10242" max="10242" width="56.85546875" bestFit="1" customWidth="1"/>
    <col min="10244" max="10244" width="11.5703125" bestFit="1" customWidth="1"/>
    <col min="10497" max="10497" width="11.140625" bestFit="1" customWidth="1"/>
    <col min="10498" max="10498" width="56.85546875" bestFit="1" customWidth="1"/>
    <col min="10500" max="10500" width="11.5703125" bestFit="1" customWidth="1"/>
    <col min="10753" max="10753" width="11.140625" bestFit="1" customWidth="1"/>
    <col min="10754" max="10754" width="56.85546875" bestFit="1" customWidth="1"/>
    <col min="10756" max="10756" width="11.5703125" bestFit="1" customWidth="1"/>
    <col min="11009" max="11009" width="11.140625" bestFit="1" customWidth="1"/>
    <col min="11010" max="11010" width="56.85546875" bestFit="1" customWidth="1"/>
    <col min="11012" max="11012" width="11.5703125" bestFit="1" customWidth="1"/>
    <col min="11265" max="11265" width="11.140625" bestFit="1" customWidth="1"/>
    <col min="11266" max="11266" width="56.85546875" bestFit="1" customWidth="1"/>
    <col min="11268" max="11268" width="11.5703125" bestFit="1" customWidth="1"/>
    <col min="11521" max="11521" width="11.140625" bestFit="1" customWidth="1"/>
    <col min="11522" max="11522" width="56.85546875" bestFit="1" customWidth="1"/>
    <col min="11524" max="11524" width="11.5703125" bestFit="1" customWidth="1"/>
    <col min="11777" max="11777" width="11.140625" bestFit="1" customWidth="1"/>
    <col min="11778" max="11778" width="56.85546875" bestFit="1" customWidth="1"/>
    <col min="11780" max="11780" width="11.5703125" bestFit="1" customWidth="1"/>
    <col min="12033" max="12033" width="11.140625" bestFit="1" customWidth="1"/>
    <col min="12034" max="12034" width="56.85546875" bestFit="1" customWidth="1"/>
    <col min="12036" max="12036" width="11.5703125" bestFit="1" customWidth="1"/>
    <col min="12289" max="12289" width="11.140625" bestFit="1" customWidth="1"/>
    <col min="12290" max="12290" width="56.85546875" bestFit="1" customWidth="1"/>
    <col min="12292" max="12292" width="11.5703125" bestFit="1" customWidth="1"/>
    <col min="12545" max="12545" width="11.140625" bestFit="1" customWidth="1"/>
    <col min="12546" max="12546" width="56.85546875" bestFit="1" customWidth="1"/>
    <col min="12548" max="12548" width="11.5703125" bestFit="1" customWidth="1"/>
    <col min="12801" max="12801" width="11.140625" bestFit="1" customWidth="1"/>
    <col min="12802" max="12802" width="56.85546875" bestFit="1" customWidth="1"/>
    <col min="12804" max="12804" width="11.5703125" bestFit="1" customWidth="1"/>
    <col min="13057" max="13057" width="11.140625" bestFit="1" customWidth="1"/>
    <col min="13058" max="13058" width="56.85546875" bestFit="1" customWidth="1"/>
    <col min="13060" max="13060" width="11.5703125" bestFit="1" customWidth="1"/>
    <col min="13313" max="13313" width="11.140625" bestFit="1" customWidth="1"/>
    <col min="13314" max="13314" width="56.85546875" bestFit="1" customWidth="1"/>
    <col min="13316" max="13316" width="11.5703125" bestFit="1" customWidth="1"/>
    <col min="13569" max="13569" width="11.140625" bestFit="1" customWidth="1"/>
    <col min="13570" max="13570" width="56.85546875" bestFit="1" customWidth="1"/>
    <col min="13572" max="13572" width="11.5703125" bestFit="1" customWidth="1"/>
    <col min="13825" max="13825" width="11.140625" bestFit="1" customWidth="1"/>
    <col min="13826" max="13826" width="56.85546875" bestFit="1" customWidth="1"/>
    <col min="13828" max="13828" width="11.5703125" bestFit="1" customWidth="1"/>
    <col min="14081" max="14081" width="11.140625" bestFit="1" customWidth="1"/>
    <col min="14082" max="14082" width="56.85546875" bestFit="1" customWidth="1"/>
    <col min="14084" max="14084" width="11.5703125" bestFit="1" customWidth="1"/>
    <col min="14337" max="14337" width="11.140625" bestFit="1" customWidth="1"/>
    <col min="14338" max="14338" width="56.85546875" bestFit="1" customWidth="1"/>
    <col min="14340" max="14340" width="11.5703125" bestFit="1" customWidth="1"/>
    <col min="14593" max="14593" width="11.140625" bestFit="1" customWidth="1"/>
    <col min="14594" max="14594" width="56.85546875" bestFit="1" customWidth="1"/>
    <col min="14596" max="14596" width="11.5703125" bestFit="1" customWidth="1"/>
    <col min="14849" max="14849" width="11.140625" bestFit="1" customWidth="1"/>
    <col min="14850" max="14850" width="56.85546875" bestFit="1" customWidth="1"/>
    <col min="14852" max="14852" width="11.5703125" bestFit="1" customWidth="1"/>
    <col min="15105" max="15105" width="11.140625" bestFit="1" customWidth="1"/>
    <col min="15106" max="15106" width="56.85546875" bestFit="1" customWidth="1"/>
    <col min="15108" max="15108" width="11.5703125" bestFit="1" customWidth="1"/>
    <col min="15361" max="15361" width="11.140625" bestFit="1" customWidth="1"/>
    <col min="15362" max="15362" width="56.85546875" bestFit="1" customWidth="1"/>
    <col min="15364" max="15364" width="11.5703125" bestFit="1" customWidth="1"/>
    <col min="15617" max="15617" width="11.140625" bestFit="1" customWidth="1"/>
    <col min="15618" max="15618" width="56.85546875" bestFit="1" customWidth="1"/>
    <col min="15620" max="15620" width="11.5703125" bestFit="1" customWidth="1"/>
    <col min="15873" max="15873" width="11.140625" bestFit="1" customWidth="1"/>
    <col min="15874" max="15874" width="56.85546875" bestFit="1" customWidth="1"/>
    <col min="15876" max="15876" width="11.5703125" bestFit="1" customWidth="1"/>
    <col min="16129" max="16129" width="11.140625" bestFit="1" customWidth="1"/>
    <col min="16130" max="16130" width="56.85546875" bestFit="1" customWidth="1"/>
    <col min="16132" max="16132" width="11.5703125" bestFit="1" customWidth="1"/>
  </cols>
  <sheetData>
    <row r="1" spans="1:16" x14ac:dyDescent="0.25">
      <c r="C1" t="s">
        <v>226</v>
      </c>
      <c r="D1">
        <v>400</v>
      </c>
      <c r="E1" t="s">
        <v>227</v>
      </c>
      <c r="F1">
        <v>0.73</v>
      </c>
    </row>
    <row r="2" spans="1:16" x14ac:dyDescent="0.25">
      <c r="A2" s="54" t="s">
        <v>170</v>
      </c>
      <c r="B2" s="55"/>
      <c r="C2" s="201" t="s">
        <v>124</v>
      </c>
      <c r="D2" s="202"/>
      <c r="E2" s="202"/>
      <c r="F2" s="202"/>
      <c r="G2" s="203"/>
      <c r="H2" s="105" t="s">
        <v>236</v>
      </c>
      <c r="I2" s="105"/>
      <c r="J2" s="105"/>
      <c r="K2" t="s">
        <v>228</v>
      </c>
      <c r="L2" t="s">
        <v>237</v>
      </c>
    </row>
    <row r="3" spans="1:16" x14ac:dyDescent="0.25">
      <c r="A3" s="55" t="s">
        <v>125</v>
      </c>
      <c r="B3" s="55" t="s">
        <v>126</v>
      </c>
      <c r="C3" s="55" t="s">
        <v>127</v>
      </c>
      <c r="D3" s="55" t="s">
        <v>128</v>
      </c>
      <c r="E3" s="55" t="s">
        <v>129</v>
      </c>
      <c r="F3" s="55" t="s">
        <v>130</v>
      </c>
      <c r="G3" s="55" t="s">
        <v>131</v>
      </c>
      <c r="J3" t="s">
        <v>238</v>
      </c>
      <c r="K3">
        <v>0.85</v>
      </c>
      <c r="L3">
        <v>0.06</v>
      </c>
    </row>
    <row r="4" spans="1:16" x14ac:dyDescent="0.25">
      <c r="A4" s="55">
        <v>22</v>
      </c>
      <c r="B4" s="55" t="s">
        <v>132</v>
      </c>
      <c r="C4" s="55">
        <v>1062</v>
      </c>
      <c r="D4" s="55">
        <v>98</v>
      </c>
      <c r="E4" s="55">
        <v>487</v>
      </c>
      <c r="F4" s="55">
        <v>522</v>
      </c>
      <c r="G4" s="55">
        <v>2169</v>
      </c>
      <c r="H4" s="106">
        <f>((C5+C8+(K3*C4))*$E$36+(C4*L3*$E$35))*D1*F1*365*$I$37*$J$37*0.000001*0.001</f>
        <v>0.74618781378114274</v>
      </c>
      <c r="I4" s="106" t="s">
        <v>250</v>
      </c>
      <c r="J4" t="s">
        <v>239</v>
      </c>
      <c r="K4">
        <v>1</v>
      </c>
      <c r="L4">
        <v>0</v>
      </c>
    </row>
    <row r="5" spans="1:16" x14ac:dyDescent="0.25">
      <c r="A5" s="55">
        <v>24</v>
      </c>
      <c r="B5" s="55" t="s">
        <v>135</v>
      </c>
      <c r="C5" s="55">
        <v>213</v>
      </c>
      <c r="D5" s="55">
        <v>33</v>
      </c>
      <c r="E5" s="55">
        <v>183</v>
      </c>
      <c r="F5" s="55">
        <v>149</v>
      </c>
      <c r="G5" s="55">
        <v>578</v>
      </c>
      <c r="J5" t="s">
        <v>240</v>
      </c>
      <c r="K5">
        <v>1</v>
      </c>
      <c r="L5">
        <v>0</v>
      </c>
    </row>
    <row r="6" spans="1:16" x14ac:dyDescent="0.25">
      <c r="A6" s="55">
        <v>25</v>
      </c>
      <c r="B6" s="55" t="s">
        <v>139</v>
      </c>
      <c r="C6" s="55">
        <v>1747</v>
      </c>
      <c r="D6" s="55">
        <v>402</v>
      </c>
      <c r="E6" s="55">
        <v>866</v>
      </c>
      <c r="F6" s="55">
        <v>1540</v>
      </c>
      <c r="G6" s="55">
        <v>4555</v>
      </c>
    </row>
    <row r="7" spans="1:16" x14ac:dyDescent="0.25">
      <c r="A7" s="55"/>
      <c r="B7" s="55" t="s">
        <v>141</v>
      </c>
      <c r="C7" s="55"/>
      <c r="D7" s="55"/>
      <c r="E7" s="55"/>
      <c r="F7" s="55">
        <v>1819</v>
      </c>
      <c r="G7" s="55">
        <v>1819</v>
      </c>
      <c r="H7" s="101" t="s">
        <v>241</v>
      </c>
      <c r="I7" s="101"/>
      <c r="J7" s="101"/>
    </row>
    <row r="8" spans="1:16" x14ac:dyDescent="0.25">
      <c r="A8" s="55"/>
      <c r="B8" s="55" t="s">
        <v>167</v>
      </c>
      <c r="C8" s="55">
        <v>1747</v>
      </c>
      <c r="D8" s="55">
        <v>402</v>
      </c>
      <c r="E8" s="55">
        <v>866</v>
      </c>
      <c r="F8" s="55">
        <v>3359</v>
      </c>
      <c r="G8" s="55">
        <v>6374</v>
      </c>
      <c r="K8" t="s">
        <v>242</v>
      </c>
      <c r="L8" t="s">
        <v>243</v>
      </c>
      <c r="M8" t="s">
        <v>251</v>
      </c>
      <c r="N8" t="s">
        <v>251</v>
      </c>
      <c r="P8" t="s">
        <v>226</v>
      </c>
    </row>
    <row r="9" spans="1:16" x14ac:dyDescent="0.25">
      <c r="A9" s="57" t="s">
        <v>143</v>
      </c>
      <c r="B9" s="57"/>
      <c r="C9" s="57">
        <v>3022</v>
      </c>
      <c r="D9" s="57">
        <v>533</v>
      </c>
      <c r="E9" s="57">
        <v>1536</v>
      </c>
      <c r="F9" s="57">
        <v>4030</v>
      </c>
      <c r="G9" s="57">
        <v>9121</v>
      </c>
      <c r="H9" s="100">
        <f>H11+H12+H13</f>
        <v>2.7108878824354639</v>
      </c>
      <c r="I9" s="100" t="s">
        <v>250</v>
      </c>
      <c r="J9" t="s">
        <v>238</v>
      </c>
      <c r="K9">
        <v>1</v>
      </c>
      <c r="L9">
        <v>1</v>
      </c>
      <c r="M9">
        <v>0.06</v>
      </c>
      <c r="N9">
        <v>0.06</v>
      </c>
      <c r="O9" t="s">
        <v>245</v>
      </c>
      <c r="P9">
        <v>75</v>
      </c>
    </row>
    <row r="10" spans="1:16" x14ac:dyDescent="0.25">
      <c r="A10" s="103"/>
      <c r="B10" s="103"/>
      <c r="C10" s="103"/>
      <c r="D10" s="103"/>
      <c r="E10" s="103"/>
      <c r="F10" s="103"/>
      <c r="G10" s="103"/>
      <c r="J10" t="s">
        <v>239</v>
      </c>
      <c r="K10">
        <v>1</v>
      </c>
      <c r="L10">
        <v>0</v>
      </c>
      <c r="O10" t="s">
        <v>246</v>
      </c>
      <c r="P10">
        <v>150</v>
      </c>
    </row>
    <row r="11" spans="1:16" x14ac:dyDescent="0.25">
      <c r="A11" s="103"/>
      <c r="B11" s="103"/>
      <c r="C11" s="103"/>
      <c r="D11" s="103"/>
      <c r="E11" s="103"/>
      <c r="F11" s="103"/>
      <c r="G11" s="103"/>
      <c r="H11">
        <f>F7*P12*F1*$K$14*$I$37*$J$37*365*0.001*0.000001</f>
        <v>2.2696523127142854</v>
      </c>
      <c r="I11" t="s">
        <v>243</v>
      </c>
      <c r="J11" t="s">
        <v>240</v>
      </c>
      <c r="K11">
        <v>1</v>
      </c>
      <c r="L11">
        <v>0</v>
      </c>
      <c r="O11" t="s">
        <v>247</v>
      </c>
      <c r="P11">
        <v>200</v>
      </c>
    </row>
    <row r="12" spans="1:16" x14ac:dyDescent="0.25">
      <c r="A12" s="103"/>
      <c r="B12" s="103"/>
      <c r="C12" s="103"/>
      <c r="D12" s="103"/>
      <c r="E12" s="103"/>
      <c r="F12" s="103"/>
      <c r="G12" s="103"/>
      <c r="H12">
        <f>((D9*P9)+((E8+E5+(E4*K3))*P10)+((F5+F6+(F4*K3))*P11))*F1*$E$36*$I$37*$J$37*365*0.001*0.000001</f>
        <v>0.42795080437017852</v>
      </c>
      <c r="I12" t="s">
        <v>242</v>
      </c>
      <c r="J12" t="s">
        <v>181</v>
      </c>
      <c r="K12">
        <v>1</v>
      </c>
      <c r="O12" t="s">
        <v>248</v>
      </c>
      <c r="P12">
        <v>500</v>
      </c>
    </row>
    <row r="13" spans="1:16" x14ac:dyDescent="0.25">
      <c r="A13" s="103"/>
      <c r="B13" s="103"/>
      <c r="C13" s="103"/>
      <c r="D13" s="103"/>
      <c r="E13" s="103"/>
      <c r="F13" s="103"/>
      <c r="G13" s="103"/>
      <c r="H13">
        <f>(E4*P10*M9+F4*P11*N9)*F1*365*0.001*$E$35*$I$37*$J$37*0.000001</f>
        <v>1.3284765350999997E-2</v>
      </c>
      <c r="I13" t="s">
        <v>251</v>
      </c>
    </row>
    <row r="14" spans="1:16" x14ac:dyDescent="0.25">
      <c r="J14" t="s">
        <v>249</v>
      </c>
      <c r="K14">
        <v>0.02</v>
      </c>
    </row>
    <row r="15" spans="1:16" x14ac:dyDescent="0.25">
      <c r="A15" s="54" t="s">
        <v>170</v>
      </c>
      <c r="B15" s="55"/>
      <c r="C15" s="201" t="s">
        <v>144</v>
      </c>
      <c r="D15" s="202"/>
      <c r="E15" s="202"/>
      <c r="F15" s="202"/>
      <c r="G15" s="203"/>
    </row>
    <row r="16" spans="1:16" x14ac:dyDescent="0.25">
      <c r="A16" s="55" t="s">
        <v>125</v>
      </c>
      <c r="B16" s="55" t="s">
        <v>126</v>
      </c>
      <c r="C16" s="55" t="s">
        <v>145</v>
      </c>
      <c r="D16" s="55" t="s">
        <v>146</v>
      </c>
      <c r="E16" s="55" t="s">
        <v>147</v>
      </c>
      <c r="F16" s="55" t="s">
        <v>148</v>
      </c>
      <c r="G16" s="55" t="s">
        <v>131</v>
      </c>
      <c r="H16" s="34" t="s">
        <v>228</v>
      </c>
      <c r="I16" s="34" t="s">
        <v>229</v>
      </c>
      <c r="J16" s="34" t="s">
        <v>230</v>
      </c>
      <c r="K16" s="34" t="s">
        <v>231</v>
      </c>
      <c r="L16" s="34"/>
    </row>
    <row r="17" spans="1:12" x14ac:dyDescent="0.25">
      <c r="A17" s="55">
        <v>22</v>
      </c>
      <c r="B17" s="55" t="s">
        <v>132</v>
      </c>
      <c r="C17" s="55">
        <v>53</v>
      </c>
      <c r="D17" s="55">
        <v>440</v>
      </c>
      <c r="E17" s="55">
        <v>356</v>
      </c>
      <c r="F17" s="55">
        <v>570</v>
      </c>
      <c r="G17" s="55">
        <v>1419</v>
      </c>
      <c r="H17" s="34">
        <v>1</v>
      </c>
      <c r="I17" s="34">
        <v>0</v>
      </c>
      <c r="J17" s="34">
        <v>0</v>
      </c>
      <c r="K17" s="34">
        <f>SUM(H17:J17)</f>
        <v>1</v>
      </c>
      <c r="L17" s="34"/>
    </row>
    <row r="18" spans="1:12" x14ac:dyDescent="0.25">
      <c r="A18" s="55">
        <v>24</v>
      </c>
      <c r="B18" s="55" t="s">
        <v>135</v>
      </c>
      <c r="C18" s="55">
        <v>59</v>
      </c>
      <c r="D18" s="55">
        <v>454</v>
      </c>
      <c r="E18" s="55">
        <v>713</v>
      </c>
      <c r="F18" s="55">
        <v>2128</v>
      </c>
      <c r="G18" s="55">
        <v>3354</v>
      </c>
      <c r="H18" s="34">
        <v>0.5</v>
      </c>
      <c r="I18" s="34">
        <v>0.25</v>
      </c>
      <c r="J18" s="34">
        <v>0.25</v>
      </c>
      <c r="K18" s="34">
        <f>SUM(H18:J18)</f>
        <v>1</v>
      </c>
      <c r="L18" s="34"/>
    </row>
    <row r="19" spans="1:12" x14ac:dyDescent="0.25">
      <c r="A19" s="55">
        <v>25</v>
      </c>
      <c r="B19" s="55" t="s">
        <v>139</v>
      </c>
      <c r="C19" s="55">
        <v>233</v>
      </c>
      <c r="D19" s="55">
        <v>1939</v>
      </c>
      <c r="E19" s="55">
        <v>2653</v>
      </c>
      <c r="F19" s="55">
        <v>5689</v>
      </c>
      <c r="G19" s="55">
        <v>10514</v>
      </c>
      <c r="H19" s="34">
        <v>0.5</v>
      </c>
      <c r="I19" s="34">
        <v>0</v>
      </c>
      <c r="J19" s="34">
        <v>0.5</v>
      </c>
      <c r="K19" s="34">
        <f>SUM(H19:J19)</f>
        <v>1</v>
      </c>
      <c r="L19" s="34"/>
    </row>
    <row r="20" spans="1:12" x14ac:dyDescent="0.25">
      <c r="A20" s="57" t="s">
        <v>143</v>
      </c>
      <c r="B20" s="57"/>
      <c r="C20" s="57">
        <v>345</v>
      </c>
      <c r="D20" s="57">
        <v>2833</v>
      </c>
      <c r="E20" s="57">
        <v>3722</v>
      </c>
      <c r="F20" s="57">
        <v>8387</v>
      </c>
      <c r="G20" s="57">
        <v>15287</v>
      </c>
    </row>
    <row r="22" spans="1:12" hidden="1" outlineLevel="1" x14ac:dyDescent="0.25"/>
    <row r="23" spans="1:12" hidden="1" outlineLevel="1" x14ac:dyDescent="0.25"/>
    <row r="24" spans="1:12" hidden="1" outlineLevel="1" x14ac:dyDescent="0.25"/>
    <row r="25" spans="1:12" hidden="1" outlineLevel="1" x14ac:dyDescent="0.25"/>
    <row r="26" spans="1:12" hidden="1" outlineLevel="1" x14ac:dyDescent="0.25"/>
    <row r="27" spans="1:12" hidden="1" outlineLevel="1" x14ac:dyDescent="0.25"/>
    <row r="28" spans="1:12" hidden="1" outlineLevel="1" x14ac:dyDescent="0.25"/>
    <row r="29" spans="1:12" hidden="1" outlineLevel="1" x14ac:dyDescent="0.25"/>
    <row r="30" spans="1:12" collapsed="1" x14ac:dyDescent="0.25"/>
    <row r="32" spans="1:12" x14ac:dyDescent="0.25">
      <c r="B32" t="s">
        <v>226</v>
      </c>
      <c r="C32">
        <v>150</v>
      </c>
      <c r="D32">
        <v>125</v>
      </c>
      <c r="E32">
        <v>13</v>
      </c>
      <c r="F32">
        <v>90</v>
      </c>
    </row>
    <row r="33" spans="2:10" x14ac:dyDescent="0.25">
      <c r="B33" t="s">
        <v>227</v>
      </c>
      <c r="C33">
        <v>0.55000000000000004</v>
      </c>
      <c r="D33">
        <v>0.55000000000000004</v>
      </c>
      <c r="E33">
        <v>1.57</v>
      </c>
      <c r="F33">
        <v>1.57</v>
      </c>
    </row>
    <row r="35" spans="2:10" x14ac:dyDescent="0.25">
      <c r="B35" t="s">
        <v>232</v>
      </c>
      <c r="C35">
        <f>(((C18*$C$32*$C$33)+(D18*$D$32*$D$33)+(E18*$E$32*$E$33)+(F18*$F$32*$F$33))*I18)*365/1000</f>
        <v>32057.834112500004</v>
      </c>
      <c r="E35">
        <v>0.01</v>
      </c>
      <c r="G35">
        <f>C35*E35</f>
        <v>320.57834112500007</v>
      </c>
    </row>
    <row r="36" spans="2:10" x14ac:dyDescent="0.25">
      <c r="B36" t="s">
        <v>233</v>
      </c>
      <c r="C36">
        <f>((((C18*$C$32*$C$33)+(D18*$D$32*$D$33)+(E18*$E$32*$E$33)+(F18*$F$32*$F$33))*H18)+(((C19*$C$32*$C$33)+(D19*$D$32*$D$33)+(E19*$E$32*$E$33)+(F19*$F$32*$F$33))*H19)+(((C17*$C$32*$C$33)+(D17*$D$32*$D$33)+(E17*$E$32*$E$33)+(F17*$F$32*$F$33))*H17))*365/1000</f>
        <v>293224.54397500004</v>
      </c>
      <c r="E36">
        <v>5.0000000000000001E-3</v>
      </c>
      <c r="G36">
        <f>C36*E36</f>
        <v>1466.1227198750003</v>
      </c>
    </row>
    <row r="37" spans="2:10" x14ac:dyDescent="0.25">
      <c r="B37" t="s">
        <v>234</v>
      </c>
      <c r="C37">
        <f>C35+C36</f>
        <v>325282.37808750005</v>
      </c>
      <c r="I37">
        <v>298</v>
      </c>
      <c r="J37">
        <f>44/28</f>
        <v>1.5714285714285714</v>
      </c>
    </row>
    <row r="39" spans="2:10" x14ac:dyDescent="0.25">
      <c r="C39">
        <f>(G35+G36)*I37*J37/1000000</f>
        <v>0.8366865825654286</v>
      </c>
    </row>
  </sheetData>
  <mergeCells count="2">
    <mergeCell ref="C2:G2"/>
    <mergeCell ref="C15:G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3"/>
  <sheetViews>
    <sheetView topLeftCell="S19" zoomScaleNormal="100" workbookViewId="0">
      <selection activeCell="AI39" sqref="AI39"/>
    </sheetView>
  </sheetViews>
  <sheetFormatPr defaultRowHeight="15" outlineLevelCol="1" x14ac:dyDescent="0.25"/>
  <cols>
    <col min="1" max="1" width="17.28515625" customWidth="1"/>
    <col min="2" max="2" width="11.7109375" customWidth="1"/>
    <col min="3" max="4" width="11" customWidth="1"/>
    <col min="5" max="5" width="10.85546875" customWidth="1"/>
    <col min="6" max="6" width="9.5703125" bestFit="1" customWidth="1"/>
    <col min="7" max="7" width="9.5703125" customWidth="1" outlineLevel="1"/>
    <col min="8" max="12" width="9.140625" customWidth="1" outlineLevel="1"/>
    <col min="13" max="13" width="11.42578125" customWidth="1" outlineLevel="1"/>
    <col min="14" max="14" width="11.7109375" customWidth="1" outlineLevel="1"/>
    <col min="15" max="21" width="9.140625" customWidth="1" outlineLevel="1"/>
    <col min="22" max="22" width="6.28515625" customWidth="1"/>
    <col min="24" max="24" width="11.85546875" customWidth="1"/>
    <col min="34" max="34" width="12.5703125" customWidth="1"/>
    <col min="35" max="35" width="10.28515625" customWidth="1"/>
    <col min="36" max="36" width="11.28515625" customWidth="1"/>
  </cols>
  <sheetData>
    <row r="1" spans="1:37" x14ac:dyDescent="0.25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37" x14ac:dyDescent="0.25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37" x14ac:dyDescent="0.25">
      <c r="A4" s="5" t="s">
        <v>5</v>
      </c>
      <c r="B4" s="5"/>
      <c r="C4" s="28"/>
      <c r="D4" s="28"/>
    </row>
    <row r="5" spans="1:37" x14ac:dyDescent="0.25">
      <c r="A5" t="s">
        <v>6</v>
      </c>
      <c r="B5" t="s">
        <v>34</v>
      </c>
      <c r="C5" t="s">
        <v>7</v>
      </c>
      <c r="D5" t="s">
        <v>9</v>
      </c>
      <c r="E5" t="s">
        <v>8</v>
      </c>
      <c r="G5" s="109">
        <v>0.02</v>
      </c>
      <c r="H5" s="166" t="s">
        <v>382</v>
      </c>
    </row>
    <row r="6" spans="1:37" x14ac:dyDescent="0.25">
      <c r="A6" t="s">
        <v>12</v>
      </c>
      <c r="C6" t="s">
        <v>30</v>
      </c>
      <c r="D6" s="27" t="s">
        <v>31</v>
      </c>
      <c r="E6">
        <v>0.01</v>
      </c>
    </row>
    <row r="7" spans="1:37" x14ac:dyDescent="0.25">
      <c r="A7" t="s">
        <v>32</v>
      </c>
      <c r="C7" t="s">
        <v>14</v>
      </c>
      <c r="D7" t="s">
        <v>33</v>
      </c>
      <c r="E7" s="26">
        <f>44/28</f>
        <v>1.5714285714285714</v>
      </c>
    </row>
    <row r="8" spans="1:37" x14ac:dyDescent="0.25">
      <c r="A8" t="s">
        <v>154</v>
      </c>
      <c r="C8" t="s">
        <v>30</v>
      </c>
      <c r="D8" t="s">
        <v>31</v>
      </c>
      <c r="E8" s="26">
        <v>0.02</v>
      </c>
    </row>
    <row r="9" spans="1:37" x14ac:dyDescent="0.25">
      <c r="A9" t="s">
        <v>155</v>
      </c>
      <c r="C9" t="s">
        <v>30</v>
      </c>
      <c r="D9" t="s">
        <v>31</v>
      </c>
      <c r="E9" s="26">
        <v>0.01</v>
      </c>
    </row>
    <row r="10" spans="1:37" x14ac:dyDescent="0.25">
      <c r="A10" t="s">
        <v>19</v>
      </c>
      <c r="C10" t="s">
        <v>20</v>
      </c>
      <c r="D10" t="s">
        <v>35</v>
      </c>
      <c r="E10">
        <v>298</v>
      </c>
    </row>
    <row r="11" spans="1:37" x14ac:dyDescent="0.25">
      <c r="W11" s="139" t="s">
        <v>288</v>
      </c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</row>
    <row r="12" spans="1:37" x14ac:dyDescent="0.25">
      <c r="A12" s="5" t="s">
        <v>24</v>
      </c>
      <c r="B12" s="5"/>
    </row>
    <row r="13" spans="1:37" x14ac:dyDescent="0.25">
      <c r="D13" s="190" t="s">
        <v>151</v>
      </c>
      <c r="E13" s="190"/>
      <c r="F13" s="190"/>
      <c r="G13" s="190"/>
      <c r="M13" s="191" t="s">
        <v>160</v>
      </c>
      <c r="N13" s="191"/>
      <c r="O13" s="191"/>
      <c r="P13" s="191"/>
      <c r="Q13" s="191"/>
      <c r="R13" s="191"/>
    </row>
    <row r="14" spans="1:37" ht="60" x14ac:dyDescent="0.25">
      <c r="A14" s="29" t="s">
        <v>0</v>
      </c>
      <c r="B14" s="30" t="s">
        <v>37</v>
      </c>
      <c r="C14" s="30" t="s">
        <v>38</v>
      </c>
      <c r="D14" s="30" t="s">
        <v>39</v>
      </c>
      <c r="E14" s="30" t="s">
        <v>40</v>
      </c>
      <c r="F14" s="30" t="s">
        <v>41</v>
      </c>
      <c r="G14" s="30" t="s">
        <v>42</v>
      </c>
      <c r="H14" s="30" t="s">
        <v>43</v>
      </c>
      <c r="I14" s="30" t="s">
        <v>44</v>
      </c>
      <c r="J14" s="30" t="s">
        <v>45</v>
      </c>
      <c r="K14" s="30" t="s">
        <v>150</v>
      </c>
      <c r="M14" s="30" t="s">
        <v>152</v>
      </c>
      <c r="N14" s="30" t="s">
        <v>153</v>
      </c>
      <c r="O14" s="30" t="s">
        <v>156</v>
      </c>
      <c r="P14" s="30" t="s">
        <v>157</v>
      </c>
      <c r="Q14" s="30" t="s">
        <v>158</v>
      </c>
      <c r="R14" s="30" t="s">
        <v>159</v>
      </c>
      <c r="S14" s="30" t="s">
        <v>150</v>
      </c>
      <c r="U14" s="30" t="s">
        <v>46</v>
      </c>
      <c r="W14" s="30" t="s">
        <v>267</v>
      </c>
      <c r="X14" s="30" t="s">
        <v>37</v>
      </c>
      <c r="Y14" s="30" t="s">
        <v>268</v>
      </c>
      <c r="Z14" s="30" t="s">
        <v>269</v>
      </c>
      <c r="AA14" s="30"/>
    </row>
    <row r="15" spans="1:37" x14ac:dyDescent="0.25">
      <c r="A15">
        <v>2006</v>
      </c>
      <c r="B15" s="32">
        <v>7526219</v>
      </c>
      <c r="C15" s="59">
        <v>3316504</v>
      </c>
      <c r="D15" s="32">
        <v>2933111.5548999999</v>
      </c>
      <c r="E15" s="31">
        <f>B15*$E$6*$E$7/1000</f>
        <v>118.26915571428572</v>
      </c>
      <c r="F15" s="31">
        <f>C15*$E$6*$E$7/1000</f>
        <v>52.116491428571429</v>
      </c>
      <c r="G15" s="31">
        <f t="shared" ref="G15:G16" si="0">D15*$E$6*$E$7/1000</f>
        <v>46.091753005571427</v>
      </c>
      <c r="H15" s="31">
        <f>E15*$E$10/1000</f>
        <v>35.24420840285714</v>
      </c>
      <c r="I15" s="31">
        <f t="shared" ref="I15:J15" si="1">F15*$E$10/1000</f>
        <v>15.530714445714286</v>
      </c>
      <c r="J15" s="31">
        <f t="shared" si="1"/>
        <v>13.735342395660286</v>
      </c>
      <c r="K15" s="31">
        <f>SUM(H15:J15)</f>
        <v>64.510265244231718</v>
      </c>
      <c r="M15" s="60"/>
      <c r="N15" s="59">
        <v>451428.39</v>
      </c>
      <c r="O15">
        <f>M15*$E$8*$E$7/1000</f>
        <v>0</v>
      </c>
      <c r="P15">
        <f>N15*$E$9*$E$7/1000</f>
        <v>7.0938747000000006</v>
      </c>
      <c r="Q15">
        <f>O15*$E$10/1000</f>
        <v>0</v>
      </c>
      <c r="R15">
        <f>P15*$E$10/1000</f>
        <v>2.1139746606000003</v>
      </c>
      <c r="S15">
        <f>Q15+R15</f>
        <v>2.1139746606000003</v>
      </c>
      <c r="U15" s="31">
        <f>K15+S15</f>
        <v>66.624239904831711</v>
      </c>
      <c r="W15" s="7">
        <v>1</v>
      </c>
      <c r="X15" s="8">
        <f>B15*W15</f>
        <v>7526219</v>
      </c>
      <c r="Y15">
        <f>X15*$E$6*$E$7/1000</f>
        <v>118.26915571428572</v>
      </c>
      <c r="Z15">
        <f>Y15*$E$10/1000</f>
        <v>35.24420840285714</v>
      </c>
    </row>
    <row r="16" spans="1:37" x14ac:dyDescent="0.25">
      <c r="A16">
        <v>2007</v>
      </c>
      <c r="B16" s="32">
        <v>7267732</v>
      </c>
      <c r="C16" s="32">
        <v>3208625</v>
      </c>
      <c r="D16" s="32">
        <v>2990028.0913</v>
      </c>
      <c r="E16" s="31">
        <f t="shared" ref="E16:E43" si="2">B16*$E$6*$E$7/1000</f>
        <v>114.20721714285715</v>
      </c>
      <c r="F16" s="31">
        <f t="shared" ref="F16:F43" si="3">C16*$E$6*$E$7/1000</f>
        <v>50.421250000000001</v>
      </c>
      <c r="G16" s="31">
        <f t="shared" si="0"/>
        <v>46.98615572042857</v>
      </c>
      <c r="H16" s="31">
        <f>E16*$E$10/1000</f>
        <v>34.033750708571432</v>
      </c>
      <c r="I16" s="31">
        <f t="shared" ref="I16:J31" si="4">F16*$E$10/1000</f>
        <v>15.025532499999999</v>
      </c>
      <c r="J16" s="31">
        <f t="shared" si="4"/>
        <v>14.001874404687715</v>
      </c>
      <c r="K16" s="20">
        <f>SUM(H16:J16)</f>
        <v>63.061157613259141</v>
      </c>
      <c r="M16" s="60"/>
      <c r="N16" s="32">
        <v>409968</v>
      </c>
      <c r="O16">
        <f t="shared" ref="O16:O43" si="5">M16*$E$8*$E$7/1000</f>
        <v>0</v>
      </c>
      <c r="P16">
        <f t="shared" ref="P16:P43" si="6">N16*$E$9*$E$7/1000</f>
        <v>6.4423542857142859</v>
      </c>
      <c r="Q16">
        <f t="shared" ref="Q16:Q43" si="7">O16*$E$10/1000</f>
        <v>0</v>
      </c>
      <c r="R16">
        <f t="shared" ref="R16:R43" si="8">P16*$E$10/1000</f>
        <v>1.9198215771428573</v>
      </c>
      <c r="S16">
        <f t="shared" ref="S16:S43" si="9">Q16+R16</f>
        <v>1.9198215771428573</v>
      </c>
      <c r="U16" s="31">
        <f t="shared" ref="U16:U43" si="10">K16+S16</f>
        <v>64.980979190401996</v>
      </c>
      <c r="W16" s="7">
        <v>1</v>
      </c>
      <c r="X16" s="8">
        <f t="shared" ref="X16:X43" si="11">B16*W16</f>
        <v>7267732</v>
      </c>
      <c r="Y16">
        <f t="shared" ref="Y16:Y43" si="12">X16*$E$6*$E$7/1000</f>
        <v>114.20721714285715</v>
      </c>
      <c r="Z16">
        <f t="shared" ref="Z16:Z43" si="13">Y16*$E$10/1000</f>
        <v>34.033750708571432</v>
      </c>
    </row>
    <row r="17" spans="1:37" x14ac:dyDescent="0.25">
      <c r="A17">
        <v>2008</v>
      </c>
      <c r="B17" s="32">
        <v>6807140</v>
      </c>
      <c r="C17" s="32">
        <v>3064362</v>
      </c>
      <c r="D17" s="32">
        <v>2878426.2456999999</v>
      </c>
      <c r="E17" s="31">
        <f t="shared" si="2"/>
        <v>106.96934285714285</v>
      </c>
      <c r="F17" s="31">
        <f t="shared" si="3"/>
        <v>48.154259999999994</v>
      </c>
      <c r="G17" s="31">
        <f t="shared" ref="G17:G43" si="14">D17*$E$6*$E$7/1000</f>
        <v>45.232412432428575</v>
      </c>
      <c r="H17" s="31">
        <f t="shared" ref="H17:J40" si="15">E17*$E$10/1000</f>
        <v>31.876864171428569</v>
      </c>
      <c r="I17" s="31">
        <f t="shared" si="4"/>
        <v>14.349969479999999</v>
      </c>
      <c r="J17" s="31">
        <f t="shared" si="4"/>
        <v>13.479258904863714</v>
      </c>
      <c r="K17" s="20">
        <f t="shared" ref="K17:K43" si="16">SUM(H17:J17)</f>
        <v>59.706092556292276</v>
      </c>
      <c r="M17" s="60"/>
      <c r="N17" s="32">
        <v>409968</v>
      </c>
      <c r="O17">
        <f t="shared" si="5"/>
        <v>0</v>
      </c>
      <c r="P17">
        <f t="shared" si="6"/>
        <v>6.4423542857142859</v>
      </c>
      <c r="Q17">
        <f t="shared" si="7"/>
        <v>0</v>
      </c>
      <c r="R17">
        <f t="shared" si="8"/>
        <v>1.9198215771428573</v>
      </c>
      <c r="S17">
        <f t="shared" si="9"/>
        <v>1.9198215771428573</v>
      </c>
      <c r="U17" s="31">
        <f t="shared" si="10"/>
        <v>61.625914133435131</v>
      </c>
      <c r="W17" s="7">
        <v>1</v>
      </c>
      <c r="X17" s="8">
        <f t="shared" si="11"/>
        <v>6807140</v>
      </c>
      <c r="Y17">
        <f t="shared" si="12"/>
        <v>106.96934285714285</v>
      </c>
      <c r="Z17">
        <f t="shared" si="13"/>
        <v>31.876864171428569</v>
      </c>
    </row>
    <row r="18" spans="1:37" x14ac:dyDescent="0.25">
      <c r="A18">
        <v>2009</v>
      </c>
      <c r="B18" s="32">
        <v>6616456</v>
      </c>
      <c r="C18" s="32">
        <v>3013169</v>
      </c>
      <c r="D18" s="32">
        <v>2637317.4032999999</v>
      </c>
      <c r="E18" s="31">
        <f t="shared" si="2"/>
        <v>103.97287999999999</v>
      </c>
      <c r="F18" s="31">
        <f t="shared" si="3"/>
        <v>47.349798571428572</v>
      </c>
      <c r="G18" s="31">
        <f t="shared" si="14"/>
        <v>41.443559194714283</v>
      </c>
      <c r="H18" s="31">
        <f t="shared" si="15"/>
        <v>30.983918239999994</v>
      </c>
      <c r="I18" s="31">
        <f t="shared" si="4"/>
        <v>14.110239974285713</v>
      </c>
      <c r="J18" s="31">
        <f t="shared" si="4"/>
        <v>12.350180640024856</v>
      </c>
      <c r="K18" s="20">
        <f t="shared" si="16"/>
        <v>57.444338854310558</v>
      </c>
      <c r="M18" s="32">
        <v>67844.831250000003</v>
      </c>
      <c r="N18" s="32">
        <v>417977.60087999998</v>
      </c>
      <c r="O18">
        <f t="shared" si="5"/>
        <v>2.1322661250000001</v>
      </c>
      <c r="P18">
        <f t="shared" si="6"/>
        <v>6.5682194423999993</v>
      </c>
      <c r="Q18">
        <f t="shared" si="7"/>
        <v>0.63541530525000012</v>
      </c>
      <c r="R18">
        <f t="shared" si="8"/>
        <v>1.9573293938351999</v>
      </c>
      <c r="S18">
        <f t="shared" si="9"/>
        <v>2.5927446990852001</v>
      </c>
      <c r="U18" s="31">
        <f t="shared" si="10"/>
        <v>60.03708355339576</v>
      </c>
      <c r="W18" s="7">
        <v>1</v>
      </c>
      <c r="X18" s="8">
        <f t="shared" si="11"/>
        <v>6616456</v>
      </c>
      <c r="Y18">
        <f t="shared" si="12"/>
        <v>103.97287999999999</v>
      </c>
      <c r="Z18">
        <f t="shared" si="13"/>
        <v>30.983918239999994</v>
      </c>
    </row>
    <row r="19" spans="1:37" x14ac:dyDescent="0.25">
      <c r="A19">
        <v>2010</v>
      </c>
      <c r="B19" s="32">
        <v>7468310</v>
      </c>
      <c r="C19" s="32">
        <v>3012269</v>
      </c>
      <c r="D19" s="32">
        <v>3508672.6663000002</v>
      </c>
      <c r="E19" s="31">
        <f t="shared" si="2"/>
        <v>117.35915714285714</v>
      </c>
      <c r="F19" s="31">
        <f t="shared" si="3"/>
        <v>47.335655714285721</v>
      </c>
      <c r="G19" s="31">
        <f t="shared" si="14"/>
        <v>55.136284756142857</v>
      </c>
      <c r="H19" s="31">
        <f t="shared" si="15"/>
        <v>34.973028828571429</v>
      </c>
      <c r="I19" s="31">
        <f t="shared" si="4"/>
        <v>14.106025402857146</v>
      </c>
      <c r="J19" s="31">
        <f t="shared" si="4"/>
        <v>16.430612857330573</v>
      </c>
      <c r="K19" s="20">
        <f t="shared" si="16"/>
        <v>65.509667088759144</v>
      </c>
      <c r="M19" s="32">
        <v>10606.575150000001</v>
      </c>
      <c r="N19" s="32">
        <v>409968</v>
      </c>
      <c r="O19">
        <f t="shared" si="5"/>
        <v>0.3333495047142857</v>
      </c>
      <c r="P19">
        <f t="shared" si="6"/>
        <v>6.4423542857142859</v>
      </c>
      <c r="Q19">
        <f t="shared" si="7"/>
        <v>9.9338152404857147E-2</v>
      </c>
      <c r="R19">
        <f t="shared" si="8"/>
        <v>1.9198215771428573</v>
      </c>
      <c r="S19">
        <f t="shared" si="9"/>
        <v>2.0191597295477144</v>
      </c>
      <c r="U19" s="31">
        <f t="shared" si="10"/>
        <v>67.528826818306854</v>
      </c>
      <c r="W19" s="7">
        <v>1</v>
      </c>
      <c r="X19" s="8">
        <f t="shared" si="11"/>
        <v>7468310</v>
      </c>
      <c r="Y19">
        <f t="shared" si="12"/>
        <v>117.35915714285714</v>
      </c>
      <c r="Z19">
        <f t="shared" si="13"/>
        <v>34.973028828571429</v>
      </c>
    </row>
    <row r="20" spans="1:37" x14ac:dyDescent="0.25">
      <c r="A20">
        <v>2011</v>
      </c>
      <c r="B20" s="32">
        <v>7834140</v>
      </c>
      <c r="C20" s="32">
        <v>2902017</v>
      </c>
      <c r="D20" s="32">
        <v>3528789</v>
      </c>
      <c r="E20" s="31">
        <f t="shared" si="2"/>
        <v>123.1079142857143</v>
      </c>
      <c r="F20" s="31">
        <f t="shared" si="3"/>
        <v>45.603124285714287</v>
      </c>
      <c r="G20" s="31">
        <f t="shared" si="14"/>
        <v>55.452398571428567</v>
      </c>
      <c r="H20" s="31">
        <f t="shared" si="15"/>
        <v>36.686158457142859</v>
      </c>
      <c r="I20" s="31">
        <f t="shared" si="4"/>
        <v>13.589731037142858</v>
      </c>
      <c r="J20" s="31">
        <f t="shared" si="4"/>
        <v>16.524814774285716</v>
      </c>
      <c r="K20" s="20">
        <f t="shared" si="16"/>
        <v>66.800704268571437</v>
      </c>
      <c r="M20" s="32">
        <v>11286.422325</v>
      </c>
      <c r="N20" s="58">
        <v>420000</v>
      </c>
      <c r="O20">
        <f t="shared" si="5"/>
        <v>0.35471613021428566</v>
      </c>
      <c r="P20">
        <f t="shared" si="6"/>
        <v>6.6</v>
      </c>
      <c r="Q20">
        <f t="shared" si="7"/>
        <v>0.10570540680385714</v>
      </c>
      <c r="R20">
        <f t="shared" si="8"/>
        <v>1.9667999999999999</v>
      </c>
      <c r="S20">
        <f t="shared" si="9"/>
        <v>2.0725054068038569</v>
      </c>
      <c r="U20" s="31">
        <f t="shared" si="10"/>
        <v>68.873209675375293</v>
      </c>
      <c r="W20" s="7">
        <v>1</v>
      </c>
      <c r="X20" s="8">
        <f t="shared" si="11"/>
        <v>7834140</v>
      </c>
      <c r="Y20">
        <f t="shared" si="12"/>
        <v>123.1079142857143</v>
      </c>
      <c r="Z20">
        <f t="shared" si="13"/>
        <v>36.686158457142859</v>
      </c>
    </row>
    <row r="21" spans="1:37" x14ac:dyDescent="0.25">
      <c r="A21">
        <v>2012</v>
      </c>
      <c r="B21" s="32">
        <v>9700004</v>
      </c>
      <c r="C21" s="32">
        <v>2697461</v>
      </c>
      <c r="D21" s="32">
        <v>3437753.0843000002</v>
      </c>
      <c r="E21" s="31">
        <f t="shared" si="2"/>
        <v>152.42863428571431</v>
      </c>
      <c r="F21" s="31">
        <f t="shared" si="3"/>
        <v>42.388672857142851</v>
      </c>
      <c r="G21" s="31">
        <f t="shared" si="14"/>
        <v>54.021834181857145</v>
      </c>
      <c r="H21" s="31">
        <f t="shared" si="15"/>
        <v>45.423733017142865</v>
      </c>
      <c r="I21" s="31">
        <f t="shared" si="4"/>
        <v>12.631824511428569</v>
      </c>
      <c r="J21" s="31">
        <f t="shared" si="4"/>
        <v>16.09850658619343</v>
      </c>
      <c r="K21" s="20">
        <f t="shared" si="16"/>
        <v>74.154064114764864</v>
      </c>
      <c r="M21" s="32">
        <v>14442.256125</v>
      </c>
      <c r="N21" s="32">
        <v>462125.79920000001</v>
      </c>
      <c r="O21">
        <f t="shared" si="5"/>
        <v>0.45389947821428567</v>
      </c>
      <c r="P21">
        <f t="shared" si="6"/>
        <v>7.2619768445714277</v>
      </c>
      <c r="Q21">
        <f t="shared" si="7"/>
        <v>0.13526204450785712</v>
      </c>
      <c r="R21">
        <f t="shared" si="8"/>
        <v>2.1640690996822856</v>
      </c>
      <c r="S21">
        <f t="shared" si="9"/>
        <v>2.2993311441901425</v>
      </c>
      <c r="U21" s="31">
        <f t="shared" si="10"/>
        <v>76.453395258955013</v>
      </c>
      <c r="W21" s="7">
        <v>1</v>
      </c>
      <c r="X21" s="8">
        <f t="shared" si="11"/>
        <v>9700004</v>
      </c>
      <c r="Y21">
        <f t="shared" si="12"/>
        <v>152.42863428571431</v>
      </c>
      <c r="Z21">
        <f t="shared" si="13"/>
        <v>45.423733017142865</v>
      </c>
      <c r="AE21" t="s">
        <v>281</v>
      </c>
      <c r="AH21">
        <v>0.5</v>
      </c>
    </row>
    <row r="22" spans="1:37" x14ac:dyDescent="0.25">
      <c r="A22">
        <v>2013</v>
      </c>
      <c r="B22" s="32">
        <v>9967255</v>
      </c>
      <c r="C22" s="32">
        <v>2665224</v>
      </c>
      <c r="D22" s="32">
        <v>3379421.6993</v>
      </c>
      <c r="E22" s="31">
        <f t="shared" si="2"/>
        <v>156.62829285714287</v>
      </c>
      <c r="F22" s="31">
        <f t="shared" si="3"/>
        <v>41.882091428571428</v>
      </c>
      <c r="G22" s="31">
        <f t="shared" si="14"/>
        <v>53.105198131857144</v>
      </c>
      <c r="H22" s="31">
        <f t="shared" si="15"/>
        <v>46.675231271428572</v>
      </c>
      <c r="I22" s="31">
        <f t="shared" si="4"/>
        <v>12.480863245714286</v>
      </c>
      <c r="J22" s="31">
        <f t="shared" si="4"/>
        <v>15.825349043293429</v>
      </c>
      <c r="K22" s="20">
        <f t="shared" si="16"/>
        <v>74.98144356043629</v>
      </c>
      <c r="M22" s="32">
        <v>13170.0906</v>
      </c>
      <c r="N22" s="32">
        <v>464088.0465</v>
      </c>
      <c r="O22">
        <f t="shared" si="5"/>
        <v>0.41391713314285716</v>
      </c>
      <c r="P22">
        <f t="shared" si="6"/>
        <v>7.292812159285714</v>
      </c>
      <c r="Q22">
        <f t="shared" si="7"/>
        <v>0.12334730567657144</v>
      </c>
      <c r="R22">
        <f t="shared" si="8"/>
        <v>2.1732580234671426</v>
      </c>
      <c r="S22">
        <f t="shared" si="9"/>
        <v>2.2966053291437141</v>
      </c>
      <c r="U22" s="31">
        <f t="shared" si="10"/>
        <v>77.278048889580006</v>
      </c>
      <c r="W22" s="7">
        <v>1</v>
      </c>
      <c r="X22" s="8">
        <f t="shared" si="11"/>
        <v>9967255</v>
      </c>
      <c r="Y22">
        <f t="shared" si="12"/>
        <v>156.62829285714287</v>
      </c>
      <c r="Z22">
        <f t="shared" si="13"/>
        <v>46.675231271428572</v>
      </c>
      <c r="AE22" t="s">
        <v>282</v>
      </c>
      <c r="AH22" s="130">
        <v>1.7500000000000002E-2</v>
      </c>
    </row>
    <row r="23" spans="1:37" x14ac:dyDescent="0.25">
      <c r="A23" s="88">
        <v>2014</v>
      </c>
      <c r="B23" s="59">
        <f>B22*(1+$G$5)</f>
        <v>10166600.1</v>
      </c>
      <c r="C23" s="118">
        <f>C22</f>
        <v>2665224</v>
      </c>
      <c r="D23" s="118">
        <f>D22+(D24-D22)/2</f>
        <v>3440472.1319429623</v>
      </c>
      <c r="E23" s="31">
        <f t="shared" si="2"/>
        <v>159.76085871428572</v>
      </c>
      <c r="F23" s="31">
        <f t="shared" si="3"/>
        <v>41.882091428571428</v>
      </c>
      <c r="G23" s="119">
        <f t="shared" si="14"/>
        <v>54.064562073389403</v>
      </c>
      <c r="H23" s="119">
        <f t="shared" si="15"/>
        <v>47.608735896857141</v>
      </c>
      <c r="I23" s="119">
        <f t="shared" si="4"/>
        <v>12.480863245714286</v>
      </c>
      <c r="J23" s="119">
        <f t="shared" si="4"/>
        <v>16.111239497870042</v>
      </c>
      <c r="K23" s="120">
        <f t="shared" si="16"/>
        <v>76.200838640441475</v>
      </c>
      <c r="L23" s="117"/>
      <c r="M23" s="118">
        <f>M22+(M24-M22)/2</f>
        <v>12926.5553</v>
      </c>
      <c r="N23" s="118">
        <f>N22</f>
        <v>464088.0465</v>
      </c>
      <c r="O23" s="117">
        <f t="shared" si="5"/>
        <v>0.40626316657142858</v>
      </c>
      <c r="P23">
        <f t="shared" si="6"/>
        <v>7.292812159285714</v>
      </c>
      <c r="Q23">
        <f t="shared" si="7"/>
        <v>0.12106642363828571</v>
      </c>
      <c r="R23">
        <f t="shared" si="8"/>
        <v>2.1732580234671426</v>
      </c>
      <c r="S23">
        <f t="shared" si="9"/>
        <v>2.2943244471054283</v>
      </c>
      <c r="T23" s="117"/>
      <c r="U23" s="31">
        <f t="shared" si="10"/>
        <v>78.495163087546899</v>
      </c>
      <c r="W23" s="7">
        <v>1</v>
      </c>
      <c r="X23" s="8">
        <f>B23*W23</f>
        <v>10166600.1</v>
      </c>
      <c r="Y23">
        <f t="shared" si="12"/>
        <v>159.76085871428572</v>
      </c>
      <c r="Z23">
        <f t="shared" si="13"/>
        <v>47.608735896857141</v>
      </c>
      <c r="AD23" s="109">
        <v>0.15</v>
      </c>
      <c r="AE23" s="109">
        <v>0.5</v>
      </c>
      <c r="AF23" s="109">
        <v>0.12</v>
      </c>
      <c r="AH23" s="189" t="s">
        <v>278</v>
      </c>
      <c r="AJ23" s="189" t="s">
        <v>283</v>
      </c>
    </row>
    <row r="24" spans="1:37" ht="15" customHeight="1" x14ac:dyDescent="0.25">
      <c r="A24" s="88">
        <v>2015</v>
      </c>
      <c r="B24" s="59">
        <f t="shared" ref="B24:B29" si="17">B23*(1+$G$5)</f>
        <v>10369932.102</v>
      </c>
      <c r="C24" s="118">
        <f t="shared" ref="C24:C43" si="18">C23</f>
        <v>2665224</v>
      </c>
      <c r="D24" s="118">
        <f>MMS!U90</f>
        <v>3501522.5645859241</v>
      </c>
      <c r="E24" s="31">
        <f t="shared" si="2"/>
        <v>162.95607588857141</v>
      </c>
      <c r="F24" s="31">
        <f t="shared" si="3"/>
        <v>41.882091428571428</v>
      </c>
      <c r="G24" s="119">
        <f t="shared" si="14"/>
        <v>55.02392601492167</v>
      </c>
      <c r="H24" s="119">
        <f t="shared" si="15"/>
        <v>48.560910614794281</v>
      </c>
      <c r="I24" s="119">
        <f t="shared" si="4"/>
        <v>12.480863245714286</v>
      </c>
      <c r="J24" s="119">
        <f t="shared" si="4"/>
        <v>16.397129952446658</v>
      </c>
      <c r="K24" s="120">
        <f t="shared" si="16"/>
        <v>77.438903812955232</v>
      </c>
      <c r="L24" s="117"/>
      <c r="M24" s="118">
        <f>MMS!U92</f>
        <v>12683.02</v>
      </c>
      <c r="N24" s="118">
        <f>MMS!U91</f>
        <v>464088.0465</v>
      </c>
      <c r="O24" s="117">
        <f t="shared" si="5"/>
        <v>0.3986092</v>
      </c>
      <c r="P24">
        <f t="shared" si="6"/>
        <v>7.292812159285714</v>
      </c>
      <c r="Q24">
        <f t="shared" si="7"/>
        <v>0.1187855416</v>
      </c>
      <c r="R24">
        <f t="shared" si="8"/>
        <v>2.1732580234671426</v>
      </c>
      <c r="S24">
        <f t="shared" si="9"/>
        <v>2.2920435650671425</v>
      </c>
      <c r="T24" s="117"/>
      <c r="U24" s="31">
        <f t="shared" si="10"/>
        <v>79.730947378022378</v>
      </c>
      <c r="V24">
        <v>2015</v>
      </c>
      <c r="W24" s="7">
        <v>1</v>
      </c>
      <c r="X24" s="8">
        <f t="shared" si="11"/>
        <v>10369932.102</v>
      </c>
      <c r="Y24">
        <f t="shared" si="12"/>
        <v>162.95607588857141</v>
      </c>
      <c r="Z24">
        <f t="shared" si="13"/>
        <v>48.560910614794281</v>
      </c>
      <c r="AC24" s="192" t="s">
        <v>279</v>
      </c>
      <c r="AD24" s="192"/>
      <c r="AE24" s="192"/>
      <c r="AF24" s="192"/>
      <c r="AG24" s="192"/>
      <c r="AH24" s="189"/>
      <c r="AI24" s="189" t="s">
        <v>280</v>
      </c>
      <c r="AJ24" s="189"/>
      <c r="AK24" s="84" t="s">
        <v>284</v>
      </c>
    </row>
    <row r="25" spans="1:37" x14ac:dyDescent="0.25">
      <c r="A25" s="88">
        <v>2016</v>
      </c>
      <c r="B25" s="59">
        <f t="shared" si="17"/>
        <v>10577330.744039999</v>
      </c>
      <c r="C25" s="118">
        <f t="shared" si="18"/>
        <v>2665224</v>
      </c>
      <c r="D25" s="118">
        <f>D24+($D$29-$D$24)/5</f>
        <v>3517897.8239884605</v>
      </c>
      <c r="E25" s="31">
        <f t="shared" si="2"/>
        <v>166.21519740634284</v>
      </c>
      <c r="F25" s="31">
        <f t="shared" si="3"/>
        <v>41.882091428571428</v>
      </c>
      <c r="G25" s="119">
        <f t="shared" si="14"/>
        <v>55.281251519818667</v>
      </c>
      <c r="H25" s="119">
        <f t="shared" si="15"/>
        <v>49.532128827090162</v>
      </c>
      <c r="I25" s="119">
        <f t="shared" si="4"/>
        <v>12.480863245714286</v>
      </c>
      <c r="J25" s="119">
        <f t="shared" si="4"/>
        <v>16.473812952905963</v>
      </c>
      <c r="K25" s="120">
        <f t="shared" si="16"/>
        <v>78.48680502571041</v>
      </c>
      <c r="L25" s="117"/>
      <c r="M25" s="118">
        <f>M24+($M$29-$M$24)/5</f>
        <v>12533.808000000001</v>
      </c>
      <c r="N25" s="118">
        <f>N24+($N$29-$N$24)/5</f>
        <v>458963.44650000002</v>
      </c>
      <c r="O25" s="117">
        <f t="shared" si="5"/>
        <v>0.39391968000000005</v>
      </c>
      <c r="P25">
        <f t="shared" si="6"/>
        <v>7.2122827307142865</v>
      </c>
      <c r="Q25">
        <f t="shared" si="7"/>
        <v>0.11738806464000001</v>
      </c>
      <c r="R25">
        <f t="shared" si="8"/>
        <v>2.1492602537528573</v>
      </c>
      <c r="S25">
        <f t="shared" si="9"/>
        <v>2.2666483183928574</v>
      </c>
      <c r="T25" s="117"/>
      <c r="U25" s="31">
        <f t="shared" si="10"/>
        <v>80.753453344103264</v>
      </c>
      <c r="V25">
        <v>2016</v>
      </c>
      <c r="W25" s="7">
        <v>0.99</v>
      </c>
      <c r="X25" s="8">
        <f t="shared" si="11"/>
        <v>10471557.436599599</v>
      </c>
      <c r="Y25">
        <f t="shared" si="12"/>
        <v>164.55304543227942</v>
      </c>
      <c r="Z25">
        <f t="shared" si="13"/>
        <v>49.036807538819268</v>
      </c>
      <c r="AB25" t="s">
        <v>36</v>
      </c>
      <c r="AC25" s="84" t="s">
        <v>277</v>
      </c>
      <c r="AD25" s="84" t="s">
        <v>274</v>
      </c>
      <c r="AE25" s="84" t="s">
        <v>275</v>
      </c>
      <c r="AF25" s="84" t="s">
        <v>276</v>
      </c>
      <c r="AG25" s="84" t="s">
        <v>131</v>
      </c>
      <c r="AH25" s="189"/>
      <c r="AI25" s="189"/>
      <c r="AJ25" s="189"/>
      <c r="AK25" s="84" t="s">
        <v>285</v>
      </c>
    </row>
    <row r="26" spans="1:37" x14ac:dyDescent="0.25">
      <c r="A26" s="88">
        <v>2017</v>
      </c>
      <c r="B26" s="59">
        <f t="shared" si="17"/>
        <v>10788877.3589208</v>
      </c>
      <c r="C26" s="118">
        <f t="shared" si="18"/>
        <v>2665224</v>
      </c>
      <c r="D26" s="118">
        <f t="shared" ref="D26:D28" si="19">D25+($D$29-$D$24)/5</f>
        <v>3534273.0833909968</v>
      </c>
      <c r="E26" s="31">
        <f t="shared" si="2"/>
        <v>169.53950135446971</v>
      </c>
      <c r="F26" s="31">
        <f t="shared" si="3"/>
        <v>41.882091428571428</v>
      </c>
      <c r="G26" s="119">
        <f t="shared" si="14"/>
        <v>55.538577024715664</v>
      </c>
      <c r="H26" s="119">
        <f t="shared" si="15"/>
        <v>50.522771403631971</v>
      </c>
      <c r="I26" s="119">
        <f t="shared" si="4"/>
        <v>12.480863245714286</v>
      </c>
      <c r="J26" s="119">
        <f t="shared" si="4"/>
        <v>16.550495953365267</v>
      </c>
      <c r="K26" s="120">
        <f t="shared" si="16"/>
        <v>79.554130602711524</v>
      </c>
      <c r="L26" s="117"/>
      <c r="M26" s="118">
        <f t="shared" ref="M26:M28" si="20">M25+($M$29-$M$24)/5</f>
        <v>12384.596000000001</v>
      </c>
      <c r="N26" s="118">
        <f t="shared" ref="N26:N28" si="21">N25+($N$29-$N$24)/5</f>
        <v>453838.84650000004</v>
      </c>
      <c r="O26" s="117">
        <f t="shared" si="5"/>
        <v>0.38923016000000005</v>
      </c>
      <c r="P26">
        <f t="shared" si="6"/>
        <v>7.1317533021428581</v>
      </c>
      <c r="Q26">
        <f t="shared" si="7"/>
        <v>0.11599058768000002</v>
      </c>
      <c r="R26">
        <f t="shared" si="8"/>
        <v>2.1252624840385717</v>
      </c>
      <c r="S26">
        <f t="shared" si="9"/>
        <v>2.2412530717185715</v>
      </c>
      <c r="T26" s="117"/>
      <c r="U26" s="31">
        <f t="shared" si="10"/>
        <v>81.795383674430099</v>
      </c>
      <c r="V26">
        <v>2017</v>
      </c>
      <c r="W26" s="7">
        <v>0.98</v>
      </c>
      <c r="X26" s="8">
        <f t="shared" si="11"/>
        <v>10573099.811742384</v>
      </c>
      <c r="Y26">
        <f t="shared" si="12"/>
        <v>166.14871132738034</v>
      </c>
      <c r="Z26">
        <f t="shared" si="13"/>
        <v>49.512315975559346</v>
      </c>
      <c r="AB26">
        <v>2017</v>
      </c>
      <c r="AC26">
        <v>442.31758599922205</v>
      </c>
      <c r="AD26">
        <f>AC26*$AD$23*AH26</f>
        <v>1.3269527579976663</v>
      </c>
      <c r="AE26">
        <f>AC26*$AE$23*AH26</f>
        <v>4.4231758599922202</v>
      </c>
      <c r="AF26">
        <f>AC26*$AF$23*AH26</f>
        <v>1.0615622063981329</v>
      </c>
      <c r="AG26">
        <f>AD26+AE26+AF26</f>
        <v>6.8116908243880196</v>
      </c>
      <c r="AH26" s="134">
        <v>0.02</v>
      </c>
      <c r="AI26">
        <f>AG26*$AH$21</f>
        <v>3.4058454121940098</v>
      </c>
      <c r="AJ26" s="8">
        <f>AI26*$AH$22*1000000</f>
        <v>59602.294713395175</v>
      </c>
      <c r="AK26">
        <f>AJ26*$E$6*$E$7*$E$10/1000000</f>
        <v>0.27910903152929911</v>
      </c>
    </row>
    <row r="27" spans="1:37" x14ac:dyDescent="0.25">
      <c r="A27" s="88">
        <v>2018</v>
      </c>
      <c r="B27" s="59">
        <f t="shared" si="17"/>
        <v>11004654.906099215</v>
      </c>
      <c r="C27" s="118">
        <f t="shared" si="18"/>
        <v>2665224</v>
      </c>
      <c r="D27" s="118">
        <f t="shared" si="19"/>
        <v>3550648.3427935331</v>
      </c>
      <c r="E27" s="31">
        <f t="shared" si="2"/>
        <v>172.9302913815591</v>
      </c>
      <c r="F27" s="31">
        <f t="shared" si="3"/>
        <v>41.882091428571428</v>
      </c>
      <c r="G27" s="119">
        <f t="shared" si="14"/>
        <v>55.795902529612661</v>
      </c>
      <c r="H27" s="119">
        <f t="shared" si="15"/>
        <v>51.53322683170461</v>
      </c>
      <c r="I27" s="119">
        <f t="shared" si="4"/>
        <v>12.480863245714286</v>
      </c>
      <c r="J27" s="119">
        <f t="shared" si="4"/>
        <v>16.627178953824572</v>
      </c>
      <c r="K27" s="120">
        <f t="shared" si="16"/>
        <v>80.641269031243468</v>
      </c>
      <c r="L27" s="117"/>
      <c r="M27" s="118">
        <f t="shared" si="20"/>
        <v>12235.384000000002</v>
      </c>
      <c r="N27" s="118">
        <f t="shared" si="21"/>
        <v>448714.24650000007</v>
      </c>
      <c r="O27" s="117">
        <f t="shared" si="5"/>
        <v>0.38454064000000004</v>
      </c>
      <c r="P27">
        <f t="shared" si="6"/>
        <v>7.0512238735714297</v>
      </c>
      <c r="Q27">
        <f t="shared" si="7"/>
        <v>0.11459311072000002</v>
      </c>
      <c r="R27">
        <f t="shared" si="8"/>
        <v>2.101264714324286</v>
      </c>
      <c r="S27">
        <f t="shared" si="9"/>
        <v>2.215857825044286</v>
      </c>
      <c r="T27" s="117"/>
      <c r="U27" s="31">
        <f t="shared" si="10"/>
        <v>82.857126856287749</v>
      </c>
      <c r="V27">
        <v>2018</v>
      </c>
      <c r="W27" s="7">
        <v>0.97</v>
      </c>
      <c r="X27" s="8">
        <f t="shared" si="11"/>
        <v>10674515.258916238</v>
      </c>
      <c r="Y27">
        <f t="shared" si="12"/>
        <v>167.74238264011234</v>
      </c>
      <c r="Z27">
        <f t="shared" si="13"/>
        <v>49.987230026753473</v>
      </c>
      <c r="AB27">
        <v>2018</v>
      </c>
      <c r="AC27">
        <v>451.1639377192065</v>
      </c>
      <c r="AD27">
        <f t="shared" ref="AD27:AD43" si="22">AC27*$AD$23*AH27</f>
        <v>2.7069836263152389</v>
      </c>
      <c r="AE27">
        <f t="shared" ref="AE27:AE43" si="23">AC27*$AE$23*AH27</f>
        <v>9.0232787543841297</v>
      </c>
      <c r="AF27">
        <f t="shared" ref="AF27:AF43" si="24">AC27*$AF$23*AH27</f>
        <v>2.1655869010521913</v>
      </c>
      <c r="AG27">
        <f t="shared" ref="AG27:AG43" si="25">AD27+AE27+AF27</f>
        <v>13.895849281751559</v>
      </c>
      <c r="AH27" s="135">
        <f>AH26+2%</f>
        <v>0.04</v>
      </c>
      <c r="AI27">
        <f t="shared" ref="AI27:AI43" si="26">AG27*$AH$21</f>
        <v>6.9479246408757795</v>
      </c>
      <c r="AJ27" s="8">
        <f t="shared" ref="AJ27:AJ43" si="27">AI27*$AH$22*1000000</f>
        <v>121588.68121532616</v>
      </c>
      <c r="AK27">
        <f t="shared" ref="AK27:AK43" si="28">AJ27*$E$6*$E$7*$E$10/1000000</f>
        <v>0.56938242431977015</v>
      </c>
    </row>
    <row r="28" spans="1:37" x14ac:dyDescent="0.25">
      <c r="A28" s="88">
        <v>2019</v>
      </c>
      <c r="B28" s="59">
        <f t="shared" si="17"/>
        <v>11224748.004221199</v>
      </c>
      <c r="C28" s="118">
        <f t="shared" si="18"/>
        <v>2665224</v>
      </c>
      <c r="D28" s="118">
        <f t="shared" si="19"/>
        <v>3567023.6021960694</v>
      </c>
      <c r="E28" s="31">
        <f t="shared" si="2"/>
        <v>176.38889720919028</v>
      </c>
      <c r="F28" s="31">
        <f t="shared" si="3"/>
        <v>41.882091428571428</v>
      </c>
      <c r="G28" s="119">
        <f t="shared" si="14"/>
        <v>56.053228034509658</v>
      </c>
      <c r="H28" s="119">
        <f t="shared" si="15"/>
        <v>52.563891368338702</v>
      </c>
      <c r="I28" s="119">
        <f t="shared" si="4"/>
        <v>12.480863245714286</v>
      </c>
      <c r="J28" s="119">
        <f t="shared" si="4"/>
        <v>16.70386195428388</v>
      </c>
      <c r="K28" s="120">
        <f t="shared" si="16"/>
        <v>81.748616568336871</v>
      </c>
      <c r="L28" s="117"/>
      <c r="M28" s="118">
        <f t="shared" si="20"/>
        <v>12086.172000000002</v>
      </c>
      <c r="N28" s="118">
        <f t="shared" si="21"/>
        <v>443589.64650000009</v>
      </c>
      <c r="O28" s="117">
        <f t="shared" si="5"/>
        <v>0.37985112000000004</v>
      </c>
      <c r="P28">
        <f t="shared" si="6"/>
        <v>6.9706944450000012</v>
      </c>
      <c r="Q28">
        <f t="shared" si="7"/>
        <v>0.11319563376000001</v>
      </c>
      <c r="R28">
        <f t="shared" si="8"/>
        <v>2.0772669446100003</v>
      </c>
      <c r="S28">
        <f t="shared" si="9"/>
        <v>2.1904625783700005</v>
      </c>
      <c r="T28" s="117"/>
      <c r="U28" s="31">
        <f t="shared" si="10"/>
        <v>83.939079146706874</v>
      </c>
      <c r="V28">
        <v>2019</v>
      </c>
      <c r="W28" s="7">
        <v>0.96</v>
      </c>
      <c r="X28" s="8">
        <f t="shared" si="11"/>
        <v>10775758.08405235</v>
      </c>
      <c r="Y28">
        <f t="shared" si="12"/>
        <v>169.33334132082263</v>
      </c>
      <c r="Z28">
        <f t="shared" si="13"/>
        <v>50.461335713605145</v>
      </c>
      <c r="AB28">
        <v>2019</v>
      </c>
      <c r="AC28">
        <v>460.18721647359064</v>
      </c>
      <c r="AD28">
        <f t="shared" si="22"/>
        <v>4.1416849482623155</v>
      </c>
      <c r="AE28">
        <f t="shared" si="23"/>
        <v>13.805616494207719</v>
      </c>
      <c r="AF28">
        <f t="shared" si="24"/>
        <v>3.3133479586098522</v>
      </c>
      <c r="AG28">
        <f t="shared" si="25"/>
        <v>21.260649401079888</v>
      </c>
      <c r="AH28" s="135">
        <f t="shared" ref="AH28:AH39" si="29">AH27+2%</f>
        <v>0.06</v>
      </c>
      <c r="AI28">
        <f t="shared" si="26"/>
        <v>10.630324700539944</v>
      </c>
      <c r="AJ28" s="8">
        <f t="shared" si="27"/>
        <v>186030.68225944904</v>
      </c>
      <c r="AK28">
        <f t="shared" si="28"/>
        <v>0.87115510920924843</v>
      </c>
    </row>
    <row r="29" spans="1:37" x14ac:dyDescent="0.25">
      <c r="A29" s="88">
        <v>2020</v>
      </c>
      <c r="B29" s="59">
        <f t="shared" si="17"/>
        <v>11449242.964305623</v>
      </c>
      <c r="C29" s="118">
        <f t="shared" si="18"/>
        <v>2665224</v>
      </c>
      <c r="D29" s="118">
        <f>MMS!V90</f>
        <v>3583398.8615986062</v>
      </c>
      <c r="E29" s="31">
        <f t="shared" si="2"/>
        <v>179.91667515337406</v>
      </c>
      <c r="F29" s="31">
        <f t="shared" si="3"/>
        <v>41.882091428571428</v>
      </c>
      <c r="G29" s="119">
        <f t="shared" si="14"/>
        <v>56.310553539406669</v>
      </c>
      <c r="H29" s="119">
        <f t="shared" si="15"/>
        <v>53.615169195705469</v>
      </c>
      <c r="I29" s="119">
        <f t="shared" si="4"/>
        <v>12.480863245714286</v>
      </c>
      <c r="J29" s="119">
        <f t="shared" si="4"/>
        <v>16.780544954743188</v>
      </c>
      <c r="K29" s="120">
        <f t="shared" si="16"/>
        <v>82.876577396162944</v>
      </c>
      <c r="L29" s="117"/>
      <c r="M29" s="118">
        <f>MMS!V92</f>
        <v>11936.960000000001</v>
      </c>
      <c r="N29" s="118">
        <f>MMS!V91</f>
        <v>438465.0465</v>
      </c>
      <c r="O29" s="117">
        <f t="shared" si="5"/>
        <v>0.37516160000000004</v>
      </c>
      <c r="P29">
        <f t="shared" si="6"/>
        <v>6.890165016428571</v>
      </c>
      <c r="Q29">
        <f t="shared" si="7"/>
        <v>0.11179815680000002</v>
      </c>
      <c r="R29">
        <f t="shared" si="8"/>
        <v>2.0532691748957141</v>
      </c>
      <c r="S29">
        <f t="shared" si="9"/>
        <v>2.1650673316957141</v>
      </c>
      <c r="T29" s="117"/>
      <c r="U29" s="31">
        <f t="shared" si="10"/>
        <v>85.041644727858653</v>
      </c>
      <c r="V29">
        <v>2020</v>
      </c>
      <c r="W29" s="7">
        <v>0.95</v>
      </c>
      <c r="X29" s="8">
        <f t="shared" si="11"/>
        <v>10876780.816090342</v>
      </c>
      <c r="Y29">
        <f t="shared" si="12"/>
        <v>170.92084139570537</v>
      </c>
      <c r="Z29">
        <f t="shared" si="13"/>
        <v>50.934410735920203</v>
      </c>
      <c r="AB29">
        <v>2020</v>
      </c>
      <c r="AC29">
        <v>469.39096080306246</v>
      </c>
      <c r="AD29">
        <f t="shared" si="22"/>
        <v>5.6326915296367499</v>
      </c>
      <c r="AE29">
        <f t="shared" si="23"/>
        <v>18.775638432122499</v>
      </c>
      <c r="AF29">
        <f t="shared" si="24"/>
        <v>4.5061532237093997</v>
      </c>
      <c r="AG29">
        <f t="shared" si="25"/>
        <v>28.914483185468651</v>
      </c>
      <c r="AH29" s="135">
        <f t="shared" si="29"/>
        <v>0.08</v>
      </c>
      <c r="AI29">
        <f t="shared" si="26"/>
        <v>14.457241592734325</v>
      </c>
      <c r="AJ29" s="8">
        <f t="shared" si="27"/>
        <v>253001.72787285075</v>
      </c>
      <c r="AK29">
        <f t="shared" si="28"/>
        <v>1.1847709485245785</v>
      </c>
    </row>
    <row r="30" spans="1:37" x14ac:dyDescent="0.25">
      <c r="A30" s="88">
        <v>2021</v>
      </c>
      <c r="B30" s="59">
        <f>B29</f>
        <v>11449242.964305623</v>
      </c>
      <c r="C30" s="118">
        <f t="shared" si="18"/>
        <v>2665224</v>
      </c>
      <c r="D30" s="118">
        <f>D29+($D$34-$D$29)/5</f>
        <v>3600132.3977436288</v>
      </c>
      <c r="E30" s="31">
        <f t="shared" si="2"/>
        <v>179.91667515337406</v>
      </c>
      <c r="F30" s="31">
        <f t="shared" si="3"/>
        <v>41.882091428571428</v>
      </c>
      <c r="G30" s="119">
        <f t="shared" si="14"/>
        <v>56.573509107399879</v>
      </c>
      <c r="H30" s="119">
        <f t="shared" si="15"/>
        <v>53.615169195705469</v>
      </c>
      <c r="I30" s="119">
        <f t="shared" si="4"/>
        <v>12.480863245714286</v>
      </c>
      <c r="J30" s="119">
        <f t="shared" si="4"/>
        <v>16.858905714005164</v>
      </c>
      <c r="K30" s="120">
        <f t="shared" si="16"/>
        <v>82.954938155424912</v>
      </c>
      <c r="L30" s="117"/>
      <c r="M30" s="118">
        <f>M29+($M$34-$M$29)/5</f>
        <v>11809.064</v>
      </c>
      <c r="N30" s="118">
        <f>N29+($N$34-$N$29)/5</f>
        <v>438465.0465</v>
      </c>
      <c r="O30" s="117">
        <f t="shared" si="5"/>
        <v>0.37114201142857145</v>
      </c>
      <c r="P30">
        <f t="shared" si="6"/>
        <v>6.890165016428571</v>
      </c>
      <c r="Q30">
        <f t="shared" si="7"/>
        <v>0.11060031940571428</v>
      </c>
      <c r="R30">
        <f t="shared" si="8"/>
        <v>2.0532691748957141</v>
      </c>
      <c r="S30">
        <f t="shared" si="9"/>
        <v>2.1638694943014283</v>
      </c>
      <c r="T30" s="117"/>
      <c r="U30" s="31">
        <f t="shared" si="10"/>
        <v>85.118807649726335</v>
      </c>
      <c r="V30">
        <v>2021</v>
      </c>
      <c r="W30" s="7">
        <f>W29-2%</f>
        <v>0.92999999999999994</v>
      </c>
      <c r="X30" s="8">
        <f t="shared" si="11"/>
        <v>10647795.956804229</v>
      </c>
      <c r="Y30">
        <f t="shared" si="12"/>
        <v>167.3225078926379</v>
      </c>
      <c r="Z30">
        <f t="shared" si="13"/>
        <v>49.862107352006099</v>
      </c>
      <c r="AB30">
        <v>2021</v>
      </c>
      <c r="AC30">
        <v>478.7787800191237</v>
      </c>
      <c r="AD30">
        <f t="shared" si="22"/>
        <v>7.1816817002868554</v>
      </c>
      <c r="AE30">
        <f t="shared" si="23"/>
        <v>23.938939000956186</v>
      </c>
      <c r="AF30">
        <f t="shared" si="24"/>
        <v>5.7453453602294848</v>
      </c>
      <c r="AG30">
        <f t="shared" si="25"/>
        <v>36.865966061472527</v>
      </c>
      <c r="AH30" s="135">
        <f t="shared" si="29"/>
        <v>0.1</v>
      </c>
      <c r="AI30">
        <f t="shared" si="26"/>
        <v>18.432983030736263</v>
      </c>
      <c r="AJ30" s="8">
        <f t="shared" si="27"/>
        <v>322577.20303788461</v>
      </c>
      <c r="AK30">
        <f t="shared" si="28"/>
        <v>1.5105829593688369</v>
      </c>
    </row>
    <row r="31" spans="1:37" x14ac:dyDescent="0.25">
      <c r="A31" s="88">
        <v>2022</v>
      </c>
      <c r="B31" s="59">
        <f t="shared" ref="B31:B43" si="30">B30</f>
        <v>11449242.964305623</v>
      </c>
      <c r="C31" s="118">
        <f t="shared" si="18"/>
        <v>2665224</v>
      </c>
      <c r="D31" s="118">
        <f t="shared" ref="D31:D33" si="31">D30+($D$34-$D$29)/5</f>
        <v>3616865.9338886514</v>
      </c>
      <c r="E31" s="31">
        <f t="shared" si="2"/>
        <v>179.91667515337406</v>
      </c>
      <c r="F31" s="31">
        <f t="shared" si="3"/>
        <v>41.882091428571428</v>
      </c>
      <c r="G31" s="119">
        <f t="shared" si="14"/>
        <v>56.836464675393096</v>
      </c>
      <c r="H31" s="119">
        <f t="shared" si="15"/>
        <v>53.615169195705469</v>
      </c>
      <c r="I31" s="119">
        <f t="shared" si="4"/>
        <v>12.480863245714286</v>
      </c>
      <c r="J31" s="119">
        <f t="shared" si="4"/>
        <v>16.937266473267144</v>
      </c>
      <c r="K31" s="120">
        <f t="shared" si="16"/>
        <v>83.033298914686895</v>
      </c>
      <c r="L31" s="117"/>
      <c r="M31" s="118">
        <f t="shared" ref="M31:M33" si="32">M30+($M$34-$M$29)/5</f>
        <v>11681.168</v>
      </c>
      <c r="N31" s="118">
        <f t="shared" ref="N31:N33" si="33">N30+($N$34-$N$29)/5</f>
        <v>438465.0465</v>
      </c>
      <c r="O31" s="117">
        <f t="shared" si="5"/>
        <v>0.36712242285714286</v>
      </c>
      <c r="P31">
        <f t="shared" si="6"/>
        <v>6.890165016428571</v>
      </c>
      <c r="Q31">
        <f t="shared" si="7"/>
        <v>0.10940248201142858</v>
      </c>
      <c r="R31">
        <f t="shared" si="8"/>
        <v>2.0532691748957141</v>
      </c>
      <c r="S31">
        <f t="shared" si="9"/>
        <v>2.1626716569071429</v>
      </c>
      <c r="T31" s="117"/>
      <c r="U31" s="31">
        <f t="shared" si="10"/>
        <v>85.195970571594032</v>
      </c>
      <c r="V31">
        <v>2022</v>
      </c>
      <c r="W31" s="7">
        <f t="shared" ref="W31:W39" si="34">W30-2%</f>
        <v>0.90999999999999992</v>
      </c>
      <c r="X31" s="8">
        <f t="shared" si="11"/>
        <v>10418811.097518116</v>
      </c>
      <c r="Y31">
        <f t="shared" si="12"/>
        <v>163.72417438957041</v>
      </c>
      <c r="Z31">
        <f t="shared" si="13"/>
        <v>48.789803968091981</v>
      </c>
      <c r="AB31">
        <v>2022</v>
      </c>
      <c r="AC31">
        <v>488.35435561950624</v>
      </c>
      <c r="AD31">
        <f t="shared" si="22"/>
        <v>8.7903784011511128</v>
      </c>
      <c r="AE31">
        <f t="shared" si="23"/>
        <v>29.301261337170377</v>
      </c>
      <c r="AF31">
        <f t="shared" si="24"/>
        <v>7.0323027209208906</v>
      </c>
      <c r="AG31">
        <f t="shared" si="25"/>
        <v>45.123942459242379</v>
      </c>
      <c r="AH31" s="135">
        <f t="shared" si="29"/>
        <v>0.12000000000000001</v>
      </c>
      <c r="AI31">
        <f t="shared" si="26"/>
        <v>22.561971229621189</v>
      </c>
      <c r="AJ31" s="8">
        <f t="shared" si="27"/>
        <v>394834.49651837081</v>
      </c>
      <c r="AK31">
        <f t="shared" si="28"/>
        <v>1.8489535422674563</v>
      </c>
    </row>
    <row r="32" spans="1:37" x14ac:dyDescent="0.25">
      <c r="A32" s="88">
        <v>2023</v>
      </c>
      <c r="B32" s="59">
        <f t="shared" si="30"/>
        <v>11449242.964305623</v>
      </c>
      <c r="C32" s="118">
        <f t="shared" si="18"/>
        <v>2665224</v>
      </c>
      <c r="D32" s="118">
        <f t="shared" si="31"/>
        <v>3633599.470033674</v>
      </c>
      <c r="E32" s="31">
        <f t="shared" si="2"/>
        <v>179.91667515337406</v>
      </c>
      <c r="F32" s="31">
        <f t="shared" si="3"/>
        <v>41.882091428571428</v>
      </c>
      <c r="G32" s="119">
        <f t="shared" si="14"/>
        <v>57.099420243386312</v>
      </c>
      <c r="H32" s="119">
        <f t="shared" si="15"/>
        <v>53.615169195705469</v>
      </c>
      <c r="I32" s="119">
        <f t="shared" si="15"/>
        <v>12.480863245714286</v>
      </c>
      <c r="J32" s="119">
        <f t="shared" si="15"/>
        <v>17.01562723252912</v>
      </c>
      <c r="K32" s="120">
        <f t="shared" si="16"/>
        <v>83.111659673948878</v>
      </c>
      <c r="L32" s="117"/>
      <c r="M32" s="118">
        <f t="shared" si="32"/>
        <v>11553.271999999999</v>
      </c>
      <c r="N32" s="118">
        <f t="shared" si="33"/>
        <v>438465.0465</v>
      </c>
      <c r="O32" s="117">
        <f t="shared" si="5"/>
        <v>0.36310283428571427</v>
      </c>
      <c r="P32">
        <f t="shared" si="6"/>
        <v>6.890165016428571</v>
      </c>
      <c r="Q32">
        <f t="shared" si="7"/>
        <v>0.10820464461714285</v>
      </c>
      <c r="R32">
        <f t="shared" si="8"/>
        <v>2.0532691748957141</v>
      </c>
      <c r="S32">
        <f t="shared" si="9"/>
        <v>2.1614738195128571</v>
      </c>
      <c r="T32" s="117"/>
      <c r="U32" s="31">
        <f t="shared" si="10"/>
        <v>85.273133493461742</v>
      </c>
      <c r="V32">
        <v>2023</v>
      </c>
      <c r="W32" s="7">
        <f t="shared" si="34"/>
        <v>0.8899999999999999</v>
      </c>
      <c r="X32" s="8">
        <f t="shared" si="11"/>
        <v>10189826.238232004</v>
      </c>
      <c r="Y32">
        <f t="shared" si="12"/>
        <v>160.12584088650291</v>
      </c>
      <c r="Z32">
        <f t="shared" si="13"/>
        <v>47.71750058417787</v>
      </c>
      <c r="AB32">
        <v>2023</v>
      </c>
      <c r="AC32">
        <v>498.12144273189631</v>
      </c>
      <c r="AD32">
        <f t="shared" si="22"/>
        <v>10.460550297369824</v>
      </c>
      <c r="AE32">
        <f t="shared" si="23"/>
        <v>34.868500991232743</v>
      </c>
      <c r="AF32">
        <f t="shared" si="24"/>
        <v>8.3684402378958573</v>
      </c>
      <c r="AG32">
        <f t="shared" si="25"/>
        <v>53.697491526498425</v>
      </c>
      <c r="AH32" s="135">
        <f t="shared" si="29"/>
        <v>0.14000000000000001</v>
      </c>
      <c r="AI32">
        <f t="shared" si="26"/>
        <v>26.848745763249212</v>
      </c>
      <c r="AJ32" s="8">
        <f t="shared" si="27"/>
        <v>469853.05085686123</v>
      </c>
      <c r="AK32">
        <f t="shared" si="28"/>
        <v>2.2002547152982728</v>
      </c>
    </row>
    <row r="33" spans="1:37" x14ac:dyDescent="0.25">
      <c r="A33" s="88">
        <v>2024</v>
      </c>
      <c r="B33" s="59">
        <f t="shared" si="30"/>
        <v>11449242.964305623</v>
      </c>
      <c r="C33" s="118">
        <f t="shared" si="18"/>
        <v>2665224</v>
      </c>
      <c r="D33" s="118">
        <f t="shared" si="31"/>
        <v>3650333.0061786966</v>
      </c>
      <c r="E33" s="31">
        <f t="shared" si="2"/>
        <v>179.91667515337406</v>
      </c>
      <c r="F33" s="31">
        <f t="shared" si="3"/>
        <v>41.882091428571428</v>
      </c>
      <c r="G33" s="119">
        <f t="shared" si="14"/>
        <v>57.362375811379522</v>
      </c>
      <c r="H33" s="119">
        <f t="shared" si="15"/>
        <v>53.615169195705469</v>
      </c>
      <c r="I33" s="119">
        <f t="shared" si="15"/>
        <v>12.480863245714286</v>
      </c>
      <c r="J33" s="119">
        <f t="shared" si="15"/>
        <v>17.093987991791099</v>
      </c>
      <c r="K33" s="120">
        <f t="shared" si="16"/>
        <v>83.190020433210847</v>
      </c>
      <c r="L33" s="117"/>
      <c r="M33" s="118">
        <f t="shared" si="32"/>
        <v>11425.375999999998</v>
      </c>
      <c r="N33" s="118">
        <f t="shared" si="33"/>
        <v>438465.0465</v>
      </c>
      <c r="O33" s="117">
        <f t="shared" si="5"/>
        <v>0.35908324571428568</v>
      </c>
      <c r="P33">
        <f t="shared" si="6"/>
        <v>6.890165016428571</v>
      </c>
      <c r="Q33">
        <f t="shared" si="7"/>
        <v>0.10700680722285713</v>
      </c>
      <c r="R33">
        <f t="shared" si="8"/>
        <v>2.0532691748957141</v>
      </c>
      <c r="S33">
        <f t="shared" si="9"/>
        <v>2.1602759821185713</v>
      </c>
      <c r="T33" s="117"/>
      <c r="U33" s="31">
        <f t="shared" si="10"/>
        <v>85.350296415329424</v>
      </c>
      <c r="V33">
        <v>2024</v>
      </c>
      <c r="W33" s="7">
        <f t="shared" si="34"/>
        <v>0.86999999999999988</v>
      </c>
      <c r="X33" s="8">
        <f t="shared" si="11"/>
        <v>9960841.3789458908</v>
      </c>
      <c r="Y33">
        <f t="shared" si="12"/>
        <v>156.52750738343542</v>
      </c>
      <c r="Z33">
        <f t="shared" si="13"/>
        <v>46.645197200263759</v>
      </c>
      <c r="AB33">
        <v>2024</v>
      </c>
      <c r="AC33">
        <v>508.08387158653426</v>
      </c>
      <c r="AD33">
        <f t="shared" si="22"/>
        <v>12.194012918076822</v>
      </c>
      <c r="AE33">
        <f t="shared" si="23"/>
        <v>40.646709726922744</v>
      </c>
      <c r="AF33">
        <f t="shared" si="24"/>
        <v>9.7552103344614576</v>
      </c>
      <c r="AG33">
        <f t="shared" si="25"/>
        <v>62.595932979461026</v>
      </c>
      <c r="AH33" s="135">
        <f t="shared" si="29"/>
        <v>0.16</v>
      </c>
      <c r="AI33">
        <f t="shared" si="26"/>
        <v>31.297966489730513</v>
      </c>
      <c r="AJ33" s="8">
        <f t="shared" si="27"/>
        <v>547714.41357028403</v>
      </c>
      <c r="AK33">
        <f t="shared" si="28"/>
        <v>2.564868353833416</v>
      </c>
    </row>
    <row r="34" spans="1:37" x14ac:dyDescent="0.25">
      <c r="A34" s="88">
        <v>2025</v>
      </c>
      <c r="B34" s="59">
        <f t="shared" si="30"/>
        <v>11449242.964305623</v>
      </c>
      <c r="C34" s="118">
        <f t="shared" si="18"/>
        <v>2665224</v>
      </c>
      <c r="D34" s="118">
        <f>MMS!W90</f>
        <v>3667066.5423237192</v>
      </c>
      <c r="E34" s="31">
        <f t="shared" si="2"/>
        <v>179.91667515337406</v>
      </c>
      <c r="F34" s="31">
        <f t="shared" si="3"/>
        <v>41.882091428571428</v>
      </c>
      <c r="G34" s="119">
        <f t="shared" si="14"/>
        <v>57.625331379372739</v>
      </c>
      <c r="H34" s="119">
        <f t="shared" si="15"/>
        <v>53.615169195705469</v>
      </c>
      <c r="I34" s="119">
        <f t="shared" si="15"/>
        <v>12.480863245714286</v>
      </c>
      <c r="J34" s="119">
        <f t="shared" si="15"/>
        <v>17.172348751053075</v>
      </c>
      <c r="K34" s="120">
        <f t="shared" si="16"/>
        <v>83.26838119247283</v>
      </c>
      <c r="L34" s="117"/>
      <c r="M34" s="118">
        <f>MMS!W92</f>
        <v>11297.48</v>
      </c>
      <c r="N34" s="118">
        <f>MMS!W91</f>
        <v>438465.0465</v>
      </c>
      <c r="O34" s="117">
        <f t="shared" si="5"/>
        <v>0.35506365714285715</v>
      </c>
      <c r="P34">
        <f t="shared" si="6"/>
        <v>6.890165016428571</v>
      </c>
      <c r="Q34">
        <f t="shared" si="7"/>
        <v>0.10580896982857144</v>
      </c>
      <c r="R34">
        <f t="shared" si="8"/>
        <v>2.0532691748957141</v>
      </c>
      <c r="S34">
        <f t="shared" si="9"/>
        <v>2.1590781447242855</v>
      </c>
      <c r="T34" s="117"/>
      <c r="U34" s="31">
        <f t="shared" si="10"/>
        <v>85.427459337197121</v>
      </c>
      <c r="V34">
        <v>2025</v>
      </c>
      <c r="W34" s="7">
        <f t="shared" si="34"/>
        <v>0.84999999999999987</v>
      </c>
      <c r="X34" s="8">
        <f t="shared" si="11"/>
        <v>9731856.5196597781</v>
      </c>
      <c r="Y34">
        <f t="shared" si="12"/>
        <v>152.92917388036796</v>
      </c>
      <c r="Z34">
        <f t="shared" si="13"/>
        <v>45.572893816349648</v>
      </c>
      <c r="AB34">
        <v>2025</v>
      </c>
      <c r="AC34">
        <v>518.24554901826491</v>
      </c>
      <c r="AD34">
        <f t="shared" si="22"/>
        <v>13.992629823493152</v>
      </c>
      <c r="AE34">
        <f t="shared" si="23"/>
        <v>46.642099411643841</v>
      </c>
      <c r="AF34">
        <f t="shared" si="24"/>
        <v>11.194103858794522</v>
      </c>
      <c r="AG34">
        <f t="shared" si="25"/>
        <v>71.828833093931522</v>
      </c>
      <c r="AH34" s="135">
        <f t="shared" si="29"/>
        <v>0.18</v>
      </c>
      <c r="AI34">
        <f t="shared" si="26"/>
        <v>35.914416546965761</v>
      </c>
      <c r="AJ34" s="8">
        <f t="shared" si="27"/>
        <v>628502.28957190085</v>
      </c>
      <c r="AK34">
        <f t="shared" si="28"/>
        <v>2.9431864360238444</v>
      </c>
    </row>
    <row r="35" spans="1:37" x14ac:dyDescent="0.25">
      <c r="A35" s="88">
        <v>2026</v>
      </c>
      <c r="B35" s="59">
        <f t="shared" si="30"/>
        <v>11449242.964305623</v>
      </c>
      <c r="C35" s="118">
        <f t="shared" si="18"/>
        <v>2665224</v>
      </c>
      <c r="D35" s="118">
        <f>D34+($D$39-$D$34)/5</f>
        <v>3675618.4624506915</v>
      </c>
      <c r="E35" s="31">
        <f t="shared" si="2"/>
        <v>179.91667515337406</v>
      </c>
      <c r="F35" s="31">
        <f t="shared" si="3"/>
        <v>41.882091428571428</v>
      </c>
      <c r="G35" s="119">
        <f t="shared" si="14"/>
        <v>57.759718695653724</v>
      </c>
      <c r="H35" s="119">
        <f t="shared" si="15"/>
        <v>53.615169195705469</v>
      </c>
      <c r="I35" s="119">
        <f t="shared" si="15"/>
        <v>12.480863245714286</v>
      </c>
      <c r="J35" s="119">
        <f t="shared" si="15"/>
        <v>17.212396171304807</v>
      </c>
      <c r="K35" s="120">
        <f t="shared" si="16"/>
        <v>83.308428612724555</v>
      </c>
      <c r="L35" s="117"/>
      <c r="M35" s="118">
        <f>M34+($M$39-$M$34)/5</f>
        <v>11233.531999999999</v>
      </c>
      <c r="N35" s="118">
        <f>N34+($N$39-$N$34)/5</f>
        <v>439746.19650000002</v>
      </c>
      <c r="O35" s="117">
        <f t="shared" si="5"/>
        <v>0.35305386285714285</v>
      </c>
      <c r="P35">
        <f t="shared" si="6"/>
        <v>6.9102973735714297</v>
      </c>
      <c r="Q35">
        <f t="shared" si="7"/>
        <v>0.10521005113142858</v>
      </c>
      <c r="R35">
        <f t="shared" si="8"/>
        <v>2.0592686173242858</v>
      </c>
      <c r="S35">
        <f t="shared" si="9"/>
        <v>2.1644786684557142</v>
      </c>
      <c r="T35" s="117"/>
      <c r="U35" s="31">
        <f t="shared" si="10"/>
        <v>85.472907281180269</v>
      </c>
      <c r="V35">
        <v>2026</v>
      </c>
      <c r="W35" s="7">
        <f t="shared" si="34"/>
        <v>0.82999999999999985</v>
      </c>
      <c r="X35" s="8">
        <f t="shared" si="11"/>
        <v>9502871.6603736654</v>
      </c>
      <c r="Y35">
        <f t="shared" si="12"/>
        <v>149.33084037730046</v>
      </c>
      <c r="Z35">
        <f t="shared" si="13"/>
        <v>44.500590432435537</v>
      </c>
      <c r="AB35">
        <v>2026</v>
      </c>
      <c r="AC35">
        <v>528.61045999863018</v>
      </c>
      <c r="AD35">
        <f t="shared" si="22"/>
        <v>15.858313799958903</v>
      </c>
      <c r="AE35">
        <f t="shared" si="23"/>
        <v>52.861045999863016</v>
      </c>
      <c r="AF35">
        <f t="shared" si="24"/>
        <v>12.686651039967122</v>
      </c>
      <c r="AG35">
        <f t="shared" si="25"/>
        <v>81.406010839789033</v>
      </c>
      <c r="AH35" s="135">
        <f t="shared" si="29"/>
        <v>0.19999999999999998</v>
      </c>
      <c r="AI35">
        <f t="shared" si="26"/>
        <v>40.703005419894517</v>
      </c>
      <c r="AJ35" s="8">
        <f t="shared" si="27"/>
        <v>712302.59484815411</v>
      </c>
      <c r="AK35">
        <f t="shared" si="28"/>
        <v>3.3356112941603562</v>
      </c>
    </row>
    <row r="36" spans="1:37" x14ac:dyDescent="0.25">
      <c r="A36" s="88">
        <v>2027</v>
      </c>
      <c r="B36" s="59">
        <f t="shared" si="30"/>
        <v>11449242.964305623</v>
      </c>
      <c r="C36" s="118">
        <f t="shared" si="18"/>
        <v>2665224</v>
      </c>
      <c r="D36" s="118">
        <f t="shared" ref="D36:D38" si="35">D35+($D$39-$D$34)/5</f>
        <v>3684170.3825776638</v>
      </c>
      <c r="E36" s="31">
        <f t="shared" si="2"/>
        <v>179.91667515337406</v>
      </c>
      <c r="F36" s="31">
        <f t="shared" si="3"/>
        <v>41.882091428571428</v>
      </c>
      <c r="G36" s="119">
        <f t="shared" si="14"/>
        <v>57.894106011934717</v>
      </c>
      <c r="H36" s="119">
        <f t="shared" si="15"/>
        <v>53.615169195705469</v>
      </c>
      <c r="I36" s="119">
        <f t="shared" si="15"/>
        <v>12.480863245714286</v>
      </c>
      <c r="J36" s="119">
        <f t="shared" si="15"/>
        <v>17.252443591556545</v>
      </c>
      <c r="K36" s="120">
        <f t="shared" si="16"/>
        <v>83.348476032976293</v>
      </c>
      <c r="L36" s="117"/>
      <c r="M36" s="118">
        <f t="shared" ref="M36:M38" si="36">M35+($M$39-$M$34)/5</f>
        <v>11169.583999999999</v>
      </c>
      <c r="N36" s="118">
        <f t="shared" ref="N36:N38" si="37">N35+($N$39-$N$34)/5</f>
        <v>441027.34650000004</v>
      </c>
      <c r="O36" s="117">
        <f t="shared" si="5"/>
        <v>0.3510440685714285</v>
      </c>
      <c r="P36">
        <f t="shared" si="6"/>
        <v>6.9304297307142857</v>
      </c>
      <c r="Q36">
        <f t="shared" si="7"/>
        <v>0.10461113243428569</v>
      </c>
      <c r="R36">
        <f t="shared" si="8"/>
        <v>2.065268059752857</v>
      </c>
      <c r="S36">
        <f t="shared" si="9"/>
        <v>2.1698791921871425</v>
      </c>
      <c r="T36" s="117"/>
      <c r="U36" s="31">
        <f t="shared" si="10"/>
        <v>85.518355225163432</v>
      </c>
      <c r="V36">
        <v>2027</v>
      </c>
      <c r="W36" s="7">
        <f t="shared" si="34"/>
        <v>0.80999999999999983</v>
      </c>
      <c r="X36" s="8">
        <f t="shared" si="11"/>
        <v>9273886.8010875527</v>
      </c>
      <c r="Y36">
        <f t="shared" si="12"/>
        <v>145.73250687423297</v>
      </c>
      <c r="Z36">
        <f t="shared" si="13"/>
        <v>43.428287048521426</v>
      </c>
      <c r="AB36">
        <v>2027</v>
      </c>
      <c r="AC36">
        <v>539.18266919860275</v>
      </c>
      <c r="AD36">
        <f t="shared" si="22"/>
        <v>19.4105760911497</v>
      </c>
      <c r="AE36">
        <f t="shared" si="23"/>
        <v>64.701920303832324</v>
      </c>
      <c r="AF36">
        <f t="shared" si="24"/>
        <v>15.528460872919757</v>
      </c>
      <c r="AG36">
        <f t="shared" si="25"/>
        <v>99.640957267901783</v>
      </c>
      <c r="AH36" s="135">
        <f>AH35+4%</f>
        <v>0.24</v>
      </c>
      <c r="AI36">
        <f t="shared" si="26"/>
        <v>49.820478633950891</v>
      </c>
      <c r="AJ36" s="8">
        <f t="shared" si="27"/>
        <v>871858.37609414058</v>
      </c>
      <c r="AK36">
        <f t="shared" si="28"/>
        <v>4.0827882240522761</v>
      </c>
    </row>
    <row r="37" spans="1:37" x14ac:dyDescent="0.25">
      <c r="A37" s="88">
        <v>2028</v>
      </c>
      <c r="B37" s="59">
        <f t="shared" si="30"/>
        <v>11449242.964305623</v>
      </c>
      <c r="C37" s="118">
        <f t="shared" si="18"/>
        <v>2665224</v>
      </c>
      <c r="D37" s="118">
        <f t="shared" si="35"/>
        <v>3692722.302704636</v>
      </c>
      <c r="E37" s="31">
        <f t="shared" si="2"/>
        <v>179.91667515337406</v>
      </c>
      <c r="F37" s="31">
        <f t="shared" si="3"/>
        <v>41.882091428571428</v>
      </c>
      <c r="G37" s="119">
        <f t="shared" si="14"/>
        <v>58.028493328215717</v>
      </c>
      <c r="H37" s="119">
        <f t="shared" si="15"/>
        <v>53.615169195705469</v>
      </c>
      <c r="I37" s="119">
        <f t="shared" si="15"/>
        <v>12.480863245714286</v>
      </c>
      <c r="J37" s="119">
        <f t="shared" si="15"/>
        <v>17.292491011808284</v>
      </c>
      <c r="K37" s="120">
        <f t="shared" si="16"/>
        <v>83.388523453228032</v>
      </c>
      <c r="L37" s="117"/>
      <c r="M37" s="118">
        <f t="shared" si="36"/>
        <v>11105.635999999999</v>
      </c>
      <c r="N37" s="118">
        <f t="shared" si="37"/>
        <v>442308.49650000007</v>
      </c>
      <c r="O37" s="117">
        <f t="shared" si="5"/>
        <v>0.34903427428571421</v>
      </c>
      <c r="P37">
        <f t="shared" si="6"/>
        <v>6.9505620878571444</v>
      </c>
      <c r="Q37">
        <f t="shared" si="7"/>
        <v>0.10401221373714283</v>
      </c>
      <c r="R37">
        <f t="shared" si="8"/>
        <v>2.0712675021814291</v>
      </c>
      <c r="S37">
        <f t="shared" si="9"/>
        <v>2.1752797159185717</v>
      </c>
      <c r="T37" s="117"/>
      <c r="U37" s="31">
        <f t="shared" si="10"/>
        <v>85.56380316914661</v>
      </c>
      <c r="V37">
        <v>2028</v>
      </c>
      <c r="W37" s="7">
        <f t="shared" si="34"/>
        <v>0.78999999999999981</v>
      </c>
      <c r="X37" s="8">
        <f t="shared" si="11"/>
        <v>9044901.94180144</v>
      </c>
      <c r="Y37">
        <f t="shared" si="12"/>
        <v>142.1341733711655</v>
      </c>
      <c r="Z37">
        <f t="shared" si="13"/>
        <v>42.355983664607315</v>
      </c>
      <c r="AB37">
        <v>2028</v>
      </c>
      <c r="AC37">
        <v>549.96632258257478</v>
      </c>
      <c r="AD37">
        <f t="shared" si="22"/>
        <v>21.448686580720416</v>
      </c>
      <c r="AE37">
        <f t="shared" si="23"/>
        <v>71.495621935734718</v>
      </c>
      <c r="AF37">
        <f t="shared" si="24"/>
        <v>17.158949264576336</v>
      </c>
      <c r="AG37">
        <f t="shared" si="25"/>
        <v>110.10325778103147</v>
      </c>
      <c r="AH37" s="135">
        <f t="shared" si="29"/>
        <v>0.26</v>
      </c>
      <c r="AI37">
        <f t="shared" si="26"/>
        <v>55.051628890515737</v>
      </c>
      <c r="AJ37" s="8">
        <f t="shared" si="27"/>
        <v>963403.50558402541</v>
      </c>
      <c r="AK37">
        <f t="shared" si="28"/>
        <v>4.5114809875777651</v>
      </c>
    </row>
    <row r="38" spans="1:37" x14ac:dyDescent="0.25">
      <c r="A38" s="88">
        <v>2029</v>
      </c>
      <c r="B38" s="59">
        <f t="shared" si="30"/>
        <v>11449242.964305623</v>
      </c>
      <c r="C38" s="118">
        <f t="shared" si="18"/>
        <v>2665224</v>
      </c>
      <c r="D38" s="118">
        <f t="shared" si="35"/>
        <v>3701274.2228316083</v>
      </c>
      <c r="E38" s="31">
        <f t="shared" si="2"/>
        <v>179.91667515337406</v>
      </c>
      <c r="F38" s="31">
        <f t="shared" si="3"/>
        <v>41.882091428571428</v>
      </c>
      <c r="G38" s="119">
        <f t="shared" si="14"/>
        <v>58.162880644496703</v>
      </c>
      <c r="H38" s="119">
        <f t="shared" si="15"/>
        <v>53.615169195705469</v>
      </c>
      <c r="I38" s="119">
        <f t="shared" si="15"/>
        <v>12.480863245714286</v>
      </c>
      <c r="J38" s="119">
        <f t="shared" si="15"/>
        <v>17.332538432060016</v>
      </c>
      <c r="K38" s="120">
        <f t="shared" si="16"/>
        <v>83.428570873479771</v>
      </c>
      <c r="L38" s="117"/>
      <c r="M38" s="118">
        <f t="shared" si="36"/>
        <v>11041.687999999998</v>
      </c>
      <c r="N38" s="118">
        <f t="shared" si="37"/>
        <v>443589.64650000009</v>
      </c>
      <c r="O38" s="117">
        <f t="shared" si="5"/>
        <v>0.34702447999999997</v>
      </c>
      <c r="P38">
        <f t="shared" si="6"/>
        <v>6.9706944450000012</v>
      </c>
      <c r="Q38">
        <f t="shared" si="7"/>
        <v>0.10341329503999999</v>
      </c>
      <c r="R38">
        <f t="shared" si="8"/>
        <v>2.0772669446100003</v>
      </c>
      <c r="S38">
        <f t="shared" si="9"/>
        <v>2.1806802396500005</v>
      </c>
      <c r="T38" s="117"/>
      <c r="U38" s="31">
        <f t="shared" si="10"/>
        <v>85.609251113129773</v>
      </c>
      <c r="V38">
        <v>2029</v>
      </c>
      <c r="W38" s="7">
        <f t="shared" si="34"/>
        <v>0.7699999999999998</v>
      </c>
      <c r="X38" s="8">
        <f t="shared" si="11"/>
        <v>8815917.0825153273</v>
      </c>
      <c r="Y38">
        <f t="shared" si="12"/>
        <v>138.53583986809801</v>
      </c>
      <c r="Z38">
        <f t="shared" si="13"/>
        <v>41.283680280693211</v>
      </c>
      <c r="AB38">
        <v>2029</v>
      </c>
      <c r="AC38">
        <v>560.96564903422632</v>
      </c>
      <c r="AD38">
        <f t="shared" si="22"/>
        <v>23.560557259437509</v>
      </c>
      <c r="AE38">
        <f t="shared" si="23"/>
        <v>78.535190864791687</v>
      </c>
      <c r="AF38">
        <f t="shared" si="24"/>
        <v>18.848445807550004</v>
      </c>
      <c r="AG38">
        <f t="shared" si="25"/>
        <v>120.94419393177921</v>
      </c>
      <c r="AH38" s="135">
        <f t="shared" si="29"/>
        <v>0.28000000000000003</v>
      </c>
      <c r="AI38">
        <f t="shared" si="26"/>
        <v>60.472096965889605</v>
      </c>
      <c r="AJ38" s="8">
        <f t="shared" si="27"/>
        <v>1058261.6969030683</v>
      </c>
      <c r="AK38">
        <f t="shared" si="28"/>
        <v>4.9556883463546546</v>
      </c>
    </row>
    <row r="39" spans="1:37" x14ac:dyDescent="0.25">
      <c r="A39" s="88">
        <v>2030</v>
      </c>
      <c r="B39" s="59">
        <f t="shared" si="30"/>
        <v>11449242.964305623</v>
      </c>
      <c r="C39" s="118">
        <f t="shared" si="18"/>
        <v>2665224</v>
      </c>
      <c r="D39" s="118">
        <f>MMS!X90</f>
        <v>3709826.1429585796</v>
      </c>
      <c r="E39" s="31">
        <f t="shared" si="2"/>
        <v>179.91667515337406</v>
      </c>
      <c r="F39" s="31">
        <f t="shared" si="3"/>
        <v>41.882091428571428</v>
      </c>
      <c r="G39" s="119">
        <f t="shared" si="14"/>
        <v>58.297267960777688</v>
      </c>
      <c r="H39" s="119">
        <f t="shared" si="15"/>
        <v>53.615169195705469</v>
      </c>
      <c r="I39" s="119">
        <f t="shared" si="15"/>
        <v>12.480863245714286</v>
      </c>
      <c r="J39" s="119">
        <f t="shared" si="15"/>
        <v>17.372585852311751</v>
      </c>
      <c r="K39" s="120">
        <f t="shared" si="16"/>
        <v>83.46861829373151</v>
      </c>
      <c r="L39" s="117"/>
      <c r="M39" s="118">
        <f>MMS!X92</f>
        <v>10977.74</v>
      </c>
      <c r="N39" s="118">
        <f>MMS!X91</f>
        <v>444870.7965</v>
      </c>
      <c r="O39" s="117">
        <f t="shared" si="5"/>
        <v>0.34501468571428567</v>
      </c>
      <c r="P39">
        <f t="shared" si="6"/>
        <v>6.9908268021428572</v>
      </c>
      <c r="Q39">
        <f t="shared" si="7"/>
        <v>0.10281437634285713</v>
      </c>
      <c r="R39">
        <f t="shared" si="8"/>
        <v>2.0832663870385715</v>
      </c>
      <c r="S39">
        <f t="shared" si="9"/>
        <v>2.1860807633814288</v>
      </c>
      <c r="T39" s="117"/>
      <c r="U39" s="31">
        <f t="shared" si="10"/>
        <v>85.654699057112936</v>
      </c>
      <c r="V39">
        <v>2030</v>
      </c>
      <c r="W39" s="7">
        <f t="shared" si="34"/>
        <v>0.74999999999999978</v>
      </c>
      <c r="X39" s="8">
        <f t="shared" si="11"/>
        <v>8586932.2232292145</v>
      </c>
      <c r="Y39">
        <f t="shared" si="12"/>
        <v>134.93750636503052</v>
      </c>
      <c r="Z39">
        <f t="shared" si="13"/>
        <v>40.211376896779093</v>
      </c>
      <c r="AB39">
        <v>2030</v>
      </c>
      <c r="AC39">
        <v>572.18496201491087</v>
      </c>
      <c r="AD39">
        <f t="shared" si="22"/>
        <v>25.748323290670992</v>
      </c>
      <c r="AE39">
        <f t="shared" si="23"/>
        <v>85.827744302236638</v>
      </c>
      <c r="AF39">
        <f t="shared" si="24"/>
        <v>20.598658632536797</v>
      </c>
      <c r="AG39">
        <f>AD39+AE39+AF39</f>
        <v>132.17472622544443</v>
      </c>
      <c r="AH39" s="135">
        <f t="shared" si="29"/>
        <v>0.30000000000000004</v>
      </c>
      <c r="AI39">
        <f>AG39*$AH$21</f>
        <v>66.087363112722215</v>
      </c>
      <c r="AJ39" s="8">
        <f t="shared" si="27"/>
        <v>1156528.8544726388</v>
      </c>
      <c r="AK39">
        <f t="shared" si="28"/>
        <v>5.4158594070875861</v>
      </c>
    </row>
    <row r="40" spans="1:37" x14ac:dyDescent="0.25">
      <c r="A40" s="88">
        <v>2035</v>
      </c>
      <c r="B40" s="59">
        <f t="shared" si="30"/>
        <v>11449242.964305623</v>
      </c>
      <c r="C40" s="118">
        <f t="shared" si="18"/>
        <v>2665224</v>
      </c>
      <c r="D40" s="8">
        <f>MMS!Y90</f>
        <v>3816834.4316734448</v>
      </c>
      <c r="E40" s="31">
        <f t="shared" si="2"/>
        <v>179.91667515337406</v>
      </c>
      <c r="F40" s="31">
        <f t="shared" si="3"/>
        <v>41.882091428571428</v>
      </c>
      <c r="G40" s="119">
        <f t="shared" si="14"/>
        <v>59.97882678343985</v>
      </c>
      <c r="H40" s="119">
        <f t="shared" si="15"/>
        <v>53.615169195705469</v>
      </c>
      <c r="I40" s="119">
        <f t="shared" si="15"/>
        <v>12.480863245714286</v>
      </c>
      <c r="J40" s="119">
        <f t="shared" si="15"/>
        <v>17.873690381465074</v>
      </c>
      <c r="K40" s="120">
        <f t="shared" si="16"/>
        <v>83.969722822884819</v>
      </c>
      <c r="M40">
        <f>MMS!Y92</f>
        <v>10977.74</v>
      </c>
      <c r="N40" s="8">
        <f>MMS!Y91</f>
        <v>447433.09649999999</v>
      </c>
      <c r="O40" s="117">
        <f t="shared" si="5"/>
        <v>0.34501468571428567</v>
      </c>
      <c r="P40">
        <f t="shared" si="6"/>
        <v>7.0310915164285719</v>
      </c>
      <c r="Q40">
        <f t="shared" si="7"/>
        <v>0.10281437634285713</v>
      </c>
      <c r="R40">
        <f t="shared" si="8"/>
        <v>2.0952652718957143</v>
      </c>
      <c r="S40">
        <f t="shared" si="9"/>
        <v>2.1980796482385716</v>
      </c>
      <c r="U40" s="31">
        <f t="shared" si="10"/>
        <v>86.167802471123395</v>
      </c>
      <c r="V40">
        <v>2035</v>
      </c>
      <c r="W40" s="181">
        <f>W39-5%</f>
        <v>0.69999999999999973</v>
      </c>
      <c r="X40" s="8">
        <f t="shared" si="11"/>
        <v>8014470.0750139328</v>
      </c>
      <c r="Y40">
        <f t="shared" si="12"/>
        <v>125.9416726073618</v>
      </c>
      <c r="Z40">
        <f t="shared" si="13"/>
        <v>37.530618436993812</v>
      </c>
      <c r="AB40">
        <v>2035</v>
      </c>
      <c r="AC40">
        <v>631.73843244038437</v>
      </c>
      <c r="AD40">
        <f t="shared" si="22"/>
        <v>33.166267703120177</v>
      </c>
      <c r="AE40">
        <f t="shared" si="23"/>
        <v>110.55422567706727</v>
      </c>
      <c r="AF40">
        <f t="shared" si="24"/>
        <v>26.533014162496141</v>
      </c>
      <c r="AG40">
        <f t="shared" si="25"/>
        <v>170.25350754268356</v>
      </c>
      <c r="AH40" s="7">
        <v>0.35</v>
      </c>
      <c r="AI40">
        <f t="shared" si="26"/>
        <v>85.126753771341782</v>
      </c>
      <c r="AJ40" s="8">
        <f t="shared" si="27"/>
        <v>1489718.1909984814</v>
      </c>
      <c r="AK40">
        <f t="shared" si="28"/>
        <v>6.9761374715614597</v>
      </c>
    </row>
    <row r="41" spans="1:37" x14ac:dyDescent="0.25">
      <c r="A41" s="88">
        <v>2040</v>
      </c>
      <c r="B41" s="59">
        <f t="shared" si="30"/>
        <v>11449242.964305623</v>
      </c>
      <c r="C41" s="118">
        <f t="shared" si="18"/>
        <v>2665224</v>
      </c>
      <c r="D41" s="8">
        <f>MMS!Z90</f>
        <v>3922135.7595364386</v>
      </c>
      <c r="E41" s="31">
        <f t="shared" si="2"/>
        <v>179.91667515337406</v>
      </c>
      <c r="F41" s="31">
        <f t="shared" si="3"/>
        <v>41.882091428571428</v>
      </c>
      <c r="G41" s="119">
        <f t="shared" si="14"/>
        <v>61.633561935572608</v>
      </c>
      <c r="H41" s="119">
        <f t="shared" ref="H41:J43" si="38">E41*$E$10/1000</f>
        <v>53.615169195705469</v>
      </c>
      <c r="I41" s="119">
        <f t="shared" si="38"/>
        <v>12.480863245714286</v>
      </c>
      <c r="J41" s="119">
        <f t="shared" si="38"/>
        <v>18.366801456800637</v>
      </c>
      <c r="K41" s="120">
        <f t="shared" si="16"/>
        <v>84.462833898220396</v>
      </c>
      <c r="M41">
        <f>MMS!Z92</f>
        <v>10977.74</v>
      </c>
      <c r="N41" s="8">
        <f>MMS!Z91</f>
        <v>451276.5465</v>
      </c>
      <c r="O41" s="117">
        <f t="shared" si="5"/>
        <v>0.34501468571428567</v>
      </c>
      <c r="P41">
        <f t="shared" si="6"/>
        <v>7.0914885878571434</v>
      </c>
      <c r="Q41">
        <f t="shared" si="7"/>
        <v>0.10281437634285713</v>
      </c>
      <c r="R41">
        <f t="shared" si="8"/>
        <v>2.1132635991814288</v>
      </c>
      <c r="S41">
        <f t="shared" si="9"/>
        <v>2.2160779755242861</v>
      </c>
      <c r="U41" s="31">
        <f t="shared" si="10"/>
        <v>86.678911873744681</v>
      </c>
      <c r="V41">
        <v>2040</v>
      </c>
      <c r="W41" s="181">
        <f t="shared" ref="W41:W43" si="39">W40-5%</f>
        <v>0.64999999999999969</v>
      </c>
      <c r="X41" s="8">
        <f t="shared" si="11"/>
        <v>7442007.926798651</v>
      </c>
      <c r="Y41">
        <f t="shared" si="12"/>
        <v>116.94583884969309</v>
      </c>
      <c r="Z41">
        <f t="shared" si="13"/>
        <v>34.849859977208546</v>
      </c>
      <c r="AB41">
        <v>2040</v>
      </c>
      <c r="AC41">
        <v>697.49027590108869</v>
      </c>
      <c r="AD41">
        <f t="shared" si="22"/>
        <v>41.849416554065328</v>
      </c>
      <c r="AE41">
        <f t="shared" si="23"/>
        <v>139.49805518021773</v>
      </c>
      <c r="AF41">
        <f t="shared" si="24"/>
        <v>33.479533243252256</v>
      </c>
      <c r="AG41">
        <f t="shared" si="25"/>
        <v>214.82700497753532</v>
      </c>
      <c r="AH41" s="7">
        <v>0.4</v>
      </c>
      <c r="AI41">
        <f t="shared" si="26"/>
        <v>107.41350248876766</v>
      </c>
      <c r="AJ41" s="8">
        <f t="shared" si="27"/>
        <v>1879736.2935534343</v>
      </c>
      <c r="AK41">
        <f t="shared" si="28"/>
        <v>8.8025365289545121</v>
      </c>
    </row>
    <row r="42" spans="1:37" x14ac:dyDescent="0.25">
      <c r="A42" s="88">
        <v>2045</v>
      </c>
      <c r="B42" s="59">
        <f t="shared" si="30"/>
        <v>11449242.964305623</v>
      </c>
      <c r="C42" s="118">
        <f t="shared" si="18"/>
        <v>2665224</v>
      </c>
      <c r="D42" s="8">
        <f>MMS!AA90</f>
        <v>4040586.2370510357</v>
      </c>
      <c r="E42" s="31">
        <f t="shared" si="2"/>
        <v>179.91667515337406</v>
      </c>
      <c r="F42" s="31">
        <f t="shared" si="3"/>
        <v>41.882091428571428</v>
      </c>
      <c r="G42" s="119">
        <f t="shared" si="14"/>
        <v>63.494926582230569</v>
      </c>
      <c r="H42" s="119">
        <f t="shared" si="38"/>
        <v>53.615169195705469</v>
      </c>
      <c r="I42" s="119">
        <f t="shared" si="38"/>
        <v>12.480863245714286</v>
      </c>
      <c r="J42" s="119">
        <f t="shared" si="38"/>
        <v>18.921488121504709</v>
      </c>
      <c r="K42" s="120">
        <f t="shared" si="16"/>
        <v>85.01752056292446</v>
      </c>
      <c r="M42">
        <f>MMS!AA92</f>
        <v>11047.017</v>
      </c>
      <c r="N42" s="8">
        <f>MMS!AA91</f>
        <v>457682.2965</v>
      </c>
      <c r="O42" s="117">
        <f t="shared" si="5"/>
        <v>0.34719196285714282</v>
      </c>
      <c r="P42">
        <f t="shared" si="6"/>
        <v>7.1921503735714287</v>
      </c>
      <c r="Q42">
        <f t="shared" si="7"/>
        <v>0.10346320493142856</v>
      </c>
      <c r="R42">
        <f t="shared" si="8"/>
        <v>2.1432608113242857</v>
      </c>
      <c r="S42">
        <f t="shared" si="9"/>
        <v>2.2467240162557141</v>
      </c>
      <c r="U42" s="31">
        <f t="shared" si="10"/>
        <v>87.264244579180172</v>
      </c>
      <c r="V42">
        <v>2045</v>
      </c>
      <c r="W42" s="181">
        <f t="shared" si="39"/>
        <v>0.59999999999999964</v>
      </c>
      <c r="X42" s="8">
        <f t="shared" si="11"/>
        <v>6869545.7785833692</v>
      </c>
      <c r="Y42">
        <f t="shared" si="12"/>
        <v>107.95000509202438</v>
      </c>
      <c r="Z42">
        <f t="shared" si="13"/>
        <v>32.169101517423265</v>
      </c>
      <c r="AB42">
        <v>2045</v>
      </c>
      <c r="AC42">
        <v>770.08562404106374</v>
      </c>
      <c r="AD42">
        <f t="shared" si="22"/>
        <v>51.980779622771799</v>
      </c>
      <c r="AE42">
        <f t="shared" si="23"/>
        <v>173.26926540923935</v>
      </c>
      <c r="AF42">
        <f t="shared" si="24"/>
        <v>41.584623698217442</v>
      </c>
      <c r="AG42">
        <f t="shared" si="25"/>
        <v>266.8346687302286</v>
      </c>
      <c r="AH42" s="7">
        <v>0.45</v>
      </c>
      <c r="AI42">
        <f t="shared" si="26"/>
        <v>133.4173343651143</v>
      </c>
      <c r="AJ42" s="8">
        <f t="shared" si="27"/>
        <v>2334803.3513895008</v>
      </c>
      <c r="AK42">
        <f t="shared" si="28"/>
        <v>10.933550551221119</v>
      </c>
    </row>
    <row r="43" spans="1:37" x14ac:dyDescent="0.25">
      <c r="A43" s="88">
        <v>2050</v>
      </c>
      <c r="B43" s="59">
        <f t="shared" si="30"/>
        <v>11449242.964305623</v>
      </c>
      <c r="C43" s="118">
        <f t="shared" si="18"/>
        <v>2665224</v>
      </c>
      <c r="D43" s="8">
        <f>MMS!AB90</f>
        <v>4159036.7145656329</v>
      </c>
      <c r="E43" s="31">
        <f t="shared" si="2"/>
        <v>179.91667515337406</v>
      </c>
      <c r="F43" s="31">
        <f t="shared" si="3"/>
        <v>41.882091428571428</v>
      </c>
      <c r="G43" s="119">
        <f t="shared" si="14"/>
        <v>65.356291228888523</v>
      </c>
      <c r="H43" s="119">
        <f t="shared" si="38"/>
        <v>53.615169195705469</v>
      </c>
      <c r="I43" s="119">
        <f t="shared" si="38"/>
        <v>12.480863245714286</v>
      </c>
      <c r="J43" s="119">
        <f t="shared" si="38"/>
        <v>19.47617478620878</v>
      </c>
      <c r="K43" s="120">
        <f t="shared" si="16"/>
        <v>85.572207227628525</v>
      </c>
      <c r="M43">
        <f>MMS!AB92</f>
        <v>11116.294</v>
      </c>
      <c r="N43" s="8">
        <f>MMS!AB91</f>
        <v>464088.0465</v>
      </c>
      <c r="O43" s="117">
        <f t="shared" si="5"/>
        <v>0.34936923999999997</v>
      </c>
      <c r="P43">
        <f t="shared" si="6"/>
        <v>7.292812159285714</v>
      </c>
      <c r="Q43">
        <f t="shared" si="7"/>
        <v>0.10411203351999999</v>
      </c>
      <c r="R43">
        <f t="shared" si="8"/>
        <v>2.1732580234671426</v>
      </c>
      <c r="S43">
        <f t="shared" si="9"/>
        <v>2.2773700569871425</v>
      </c>
      <c r="U43" s="31">
        <f t="shared" si="10"/>
        <v>87.849577284615663</v>
      </c>
      <c r="V43">
        <v>2050</v>
      </c>
      <c r="W43" s="181">
        <f t="shared" si="39"/>
        <v>0.5499999999999996</v>
      </c>
      <c r="X43" s="8">
        <f t="shared" si="11"/>
        <v>6297083.6303680874</v>
      </c>
      <c r="Y43">
        <f t="shared" si="12"/>
        <v>98.954171334355664</v>
      </c>
      <c r="Z43">
        <f t="shared" si="13"/>
        <v>29.488343057637987</v>
      </c>
      <c r="AB43">
        <v>2050</v>
      </c>
      <c r="AC43">
        <v>850.23675432403093</v>
      </c>
      <c r="AD43">
        <f t="shared" si="22"/>
        <v>63.767756574302318</v>
      </c>
      <c r="AE43">
        <f t="shared" si="23"/>
        <v>212.55918858100773</v>
      </c>
      <c r="AF43">
        <f t="shared" si="24"/>
        <v>51.014205259441852</v>
      </c>
      <c r="AG43">
        <f t="shared" si="25"/>
        <v>327.34115041475189</v>
      </c>
      <c r="AH43" s="7">
        <v>0.5</v>
      </c>
      <c r="AI43">
        <f t="shared" si="26"/>
        <v>163.67057520737595</v>
      </c>
      <c r="AJ43" s="8">
        <f t="shared" si="27"/>
        <v>2864235.0661290796</v>
      </c>
      <c r="AK43">
        <f t="shared" si="28"/>
        <v>13.41280363824446</v>
      </c>
    </row>
  </sheetData>
  <mergeCells count="6">
    <mergeCell ref="AI24:AI25"/>
    <mergeCell ref="AJ23:AJ25"/>
    <mergeCell ref="D13:G13"/>
    <mergeCell ref="M13:R13"/>
    <mergeCell ref="AC24:AG24"/>
    <mergeCell ref="AH23:AH25"/>
  </mergeCells>
  <pageMargins left="0.7" right="0.7" top="0.75" bottom="0.75" header="0.3" footer="0.3"/>
  <pageSetup orientation="portrait" horizontalDpi="0" verticalDpi="0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D20" sqref="D20"/>
    </sheetView>
  </sheetViews>
  <sheetFormatPr defaultRowHeight="15" outlineLevelRow="1" x14ac:dyDescent="0.25"/>
  <cols>
    <col min="1" max="1" width="11.140625" bestFit="1" customWidth="1"/>
    <col min="2" max="2" width="56.85546875" bestFit="1" customWidth="1"/>
    <col min="4" max="4" width="11.5703125" bestFit="1" customWidth="1"/>
    <col min="8" max="8" width="13.85546875" customWidth="1"/>
    <col min="257" max="257" width="11.140625" bestFit="1" customWidth="1"/>
    <col min="258" max="258" width="56.85546875" bestFit="1" customWidth="1"/>
    <col min="260" max="260" width="11.5703125" bestFit="1" customWidth="1"/>
    <col min="513" max="513" width="11.140625" bestFit="1" customWidth="1"/>
    <col min="514" max="514" width="56.85546875" bestFit="1" customWidth="1"/>
    <col min="516" max="516" width="11.5703125" bestFit="1" customWidth="1"/>
    <col min="769" max="769" width="11.140625" bestFit="1" customWidth="1"/>
    <col min="770" max="770" width="56.85546875" bestFit="1" customWidth="1"/>
    <col min="772" max="772" width="11.5703125" bestFit="1" customWidth="1"/>
    <col min="1025" max="1025" width="11.140625" bestFit="1" customWidth="1"/>
    <col min="1026" max="1026" width="56.85546875" bestFit="1" customWidth="1"/>
    <col min="1028" max="1028" width="11.5703125" bestFit="1" customWidth="1"/>
    <col min="1281" max="1281" width="11.140625" bestFit="1" customWidth="1"/>
    <col min="1282" max="1282" width="56.85546875" bestFit="1" customWidth="1"/>
    <col min="1284" max="1284" width="11.5703125" bestFit="1" customWidth="1"/>
    <col min="1537" max="1537" width="11.140625" bestFit="1" customWidth="1"/>
    <col min="1538" max="1538" width="56.85546875" bestFit="1" customWidth="1"/>
    <col min="1540" max="1540" width="11.5703125" bestFit="1" customWidth="1"/>
    <col min="1793" max="1793" width="11.140625" bestFit="1" customWidth="1"/>
    <col min="1794" max="1794" width="56.85546875" bestFit="1" customWidth="1"/>
    <col min="1796" max="1796" width="11.5703125" bestFit="1" customWidth="1"/>
    <col min="2049" max="2049" width="11.140625" bestFit="1" customWidth="1"/>
    <col min="2050" max="2050" width="56.85546875" bestFit="1" customWidth="1"/>
    <col min="2052" max="2052" width="11.5703125" bestFit="1" customWidth="1"/>
    <col min="2305" max="2305" width="11.140625" bestFit="1" customWidth="1"/>
    <col min="2306" max="2306" width="56.85546875" bestFit="1" customWidth="1"/>
    <col min="2308" max="2308" width="11.5703125" bestFit="1" customWidth="1"/>
    <col min="2561" max="2561" width="11.140625" bestFit="1" customWidth="1"/>
    <col min="2562" max="2562" width="56.85546875" bestFit="1" customWidth="1"/>
    <col min="2564" max="2564" width="11.5703125" bestFit="1" customWidth="1"/>
    <col min="2817" max="2817" width="11.140625" bestFit="1" customWidth="1"/>
    <col min="2818" max="2818" width="56.85546875" bestFit="1" customWidth="1"/>
    <col min="2820" max="2820" width="11.5703125" bestFit="1" customWidth="1"/>
    <col min="3073" max="3073" width="11.140625" bestFit="1" customWidth="1"/>
    <col min="3074" max="3074" width="56.85546875" bestFit="1" customWidth="1"/>
    <col min="3076" max="3076" width="11.5703125" bestFit="1" customWidth="1"/>
    <col min="3329" max="3329" width="11.140625" bestFit="1" customWidth="1"/>
    <col min="3330" max="3330" width="56.85546875" bestFit="1" customWidth="1"/>
    <col min="3332" max="3332" width="11.5703125" bestFit="1" customWidth="1"/>
    <col min="3585" max="3585" width="11.140625" bestFit="1" customWidth="1"/>
    <col min="3586" max="3586" width="56.85546875" bestFit="1" customWidth="1"/>
    <col min="3588" max="3588" width="11.5703125" bestFit="1" customWidth="1"/>
    <col min="3841" max="3841" width="11.140625" bestFit="1" customWidth="1"/>
    <col min="3842" max="3842" width="56.85546875" bestFit="1" customWidth="1"/>
    <col min="3844" max="3844" width="11.5703125" bestFit="1" customWidth="1"/>
    <col min="4097" max="4097" width="11.140625" bestFit="1" customWidth="1"/>
    <col min="4098" max="4098" width="56.85546875" bestFit="1" customWidth="1"/>
    <col min="4100" max="4100" width="11.5703125" bestFit="1" customWidth="1"/>
    <col min="4353" max="4353" width="11.140625" bestFit="1" customWidth="1"/>
    <col min="4354" max="4354" width="56.85546875" bestFit="1" customWidth="1"/>
    <col min="4356" max="4356" width="11.5703125" bestFit="1" customWidth="1"/>
    <col min="4609" max="4609" width="11.140625" bestFit="1" customWidth="1"/>
    <col min="4610" max="4610" width="56.85546875" bestFit="1" customWidth="1"/>
    <col min="4612" max="4612" width="11.5703125" bestFit="1" customWidth="1"/>
    <col min="4865" max="4865" width="11.140625" bestFit="1" customWidth="1"/>
    <col min="4866" max="4866" width="56.85546875" bestFit="1" customWidth="1"/>
    <col min="4868" max="4868" width="11.5703125" bestFit="1" customWidth="1"/>
    <col min="5121" max="5121" width="11.140625" bestFit="1" customWidth="1"/>
    <col min="5122" max="5122" width="56.85546875" bestFit="1" customWidth="1"/>
    <col min="5124" max="5124" width="11.5703125" bestFit="1" customWidth="1"/>
    <col min="5377" max="5377" width="11.140625" bestFit="1" customWidth="1"/>
    <col min="5378" max="5378" width="56.85546875" bestFit="1" customWidth="1"/>
    <col min="5380" max="5380" width="11.5703125" bestFit="1" customWidth="1"/>
    <col min="5633" max="5633" width="11.140625" bestFit="1" customWidth="1"/>
    <col min="5634" max="5634" width="56.85546875" bestFit="1" customWidth="1"/>
    <col min="5636" max="5636" width="11.5703125" bestFit="1" customWidth="1"/>
    <col min="5889" max="5889" width="11.140625" bestFit="1" customWidth="1"/>
    <col min="5890" max="5890" width="56.85546875" bestFit="1" customWidth="1"/>
    <col min="5892" max="5892" width="11.5703125" bestFit="1" customWidth="1"/>
    <col min="6145" max="6145" width="11.140625" bestFit="1" customWidth="1"/>
    <col min="6146" max="6146" width="56.85546875" bestFit="1" customWidth="1"/>
    <col min="6148" max="6148" width="11.5703125" bestFit="1" customWidth="1"/>
    <col min="6401" max="6401" width="11.140625" bestFit="1" customWidth="1"/>
    <col min="6402" max="6402" width="56.85546875" bestFit="1" customWidth="1"/>
    <col min="6404" max="6404" width="11.5703125" bestFit="1" customWidth="1"/>
    <col min="6657" max="6657" width="11.140625" bestFit="1" customWidth="1"/>
    <col min="6658" max="6658" width="56.85546875" bestFit="1" customWidth="1"/>
    <col min="6660" max="6660" width="11.5703125" bestFit="1" customWidth="1"/>
    <col min="6913" max="6913" width="11.140625" bestFit="1" customWidth="1"/>
    <col min="6914" max="6914" width="56.85546875" bestFit="1" customWidth="1"/>
    <col min="6916" max="6916" width="11.5703125" bestFit="1" customWidth="1"/>
    <col min="7169" max="7169" width="11.140625" bestFit="1" customWidth="1"/>
    <col min="7170" max="7170" width="56.85546875" bestFit="1" customWidth="1"/>
    <col min="7172" max="7172" width="11.5703125" bestFit="1" customWidth="1"/>
    <col min="7425" max="7425" width="11.140625" bestFit="1" customWidth="1"/>
    <col min="7426" max="7426" width="56.85546875" bestFit="1" customWidth="1"/>
    <col min="7428" max="7428" width="11.5703125" bestFit="1" customWidth="1"/>
    <col min="7681" max="7681" width="11.140625" bestFit="1" customWidth="1"/>
    <col min="7682" max="7682" width="56.85546875" bestFit="1" customWidth="1"/>
    <col min="7684" max="7684" width="11.5703125" bestFit="1" customWidth="1"/>
    <col min="7937" max="7937" width="11.140625" bestFit="1" customWidth="1"/>
    <col min="7938" max="7938" width="56.85546875" bestFit="1" customWidth="1"/>
    <col min="7940" max="7940" width="11.5703125" bestFit="1" customWidth="1"/>
    <col min="8193" max="8193" width="11.140625" bestFit="1" customWidth="1"/>
    <col min="8194" max="8194" width="56.85546875" bestFit="1" customWidth="1"/>
    <col min="8196" max="8196" width="11.5703125" bestFit="1" customWidth="1"/>
    <col min="8449" max="8449" width="11.140625" bestFit="1" customWidth="1"/>
    <col min="8450" max="8450" width="56.85546875" bestFit="1" customWidth="1"/>
    <col min="8452" max="8452" width="11.5703125" bestFit="1" customWidth="1"/>
    <col min="8705" max="8705" width="11.140625" bestFit="1" customWidth="1"/>
    <col min="8706" max="8706" width="56.85546875" bestFit="1" customWidth="1"/>
    <col min="8708" max="8708" width="11.5703125" bestFit="1" customWidth="1"/>
    <col min="8961" max="8961" width="11.140625" bestFit="1" customWidth="1"/>
    <col min="8962" max="8962" width="56.85546875" bestFit="1" customWidth="1"/>
    <col min="8964" max="8964" width="11.5703125" bestFit="1" customWidth="1"/>
    <col min="9217" max="9217" width="11.140625" bestFit="1" customWidth="1"/>
    <col min="9218" max="9218" width="56.85546875" bestFit="1" customWidth="1"/>
    <col min="9220" max="9220" width="11.5703125" bestFit="1" customWidth="1"/>
    <col min="9473" max="9473" width="11.140625" bestFit="1" customWidth="1"/>
    <col min="9474" max="9474" width="56.85546875" bestFit="1" customWidth="1"/>
    <col min="9476" max="9476" width="11.5703125" bestFit="1" customWidth="1"/>
    <col min="9729" max="9729" width="11.140625" bestFit="1" customWidth="1"/>
    <col min="9730" max="9730" width="56.85546875" bestFit="1" customWidth="1"/>
    <col min="9732" max="9732" width="11.5703125" bestFit="1" customWidth="1"/>
    <col min="9985" max="9985" width="11.140625" bestFit="1" customWidth="1"/>
    <col min="9986" max="9986" width="56.85546875" bestFit="1" customWidth="1"/>
    <col min="9988" max="9988" width="11.5703125" bestFit="1" customWidth="1"/>
    <col min="10241" max="10241" width="11.140625" bestFit="1" customWidth="1"/>
    <col min="10242" max="10242" width="56.85546875" bestFit="1" customWidth="1"/>
    <col min="10244" max="10244" width="11.5703125" bestFit="1" customWidth="1"/>
    <col min="10497" max="10497" width="11.140625" bestFit="1" customWidth="1"/>
    <col min="10498" max="10498" width="56.85546875" bestFit="1" customWidth="1"/>
    <col min="10500" max="10500" width="11.5703125" bestFit="1" customWidth="1"/>
    <col min="10753" max="10753" width="11.140625" bestFit="1" customWidth="1"/>
    <col min="10754" max="10754" width="56.85546875" bestFit="1" customWidth="1"/>
    <col min="10756" max="10756" width="11.5703125" bestFit="1" customWidth="1"/>
    <col min="11009" max="11009" width="11.140625" bestFit="1" customWidth="1"/>
    <col min="11010" max="11010" width="56.85546875" bestFit="1" customWidth="1"/>
    <col min="11012" max="11012" width="11.5703125" bestFit="1" customWidth="1"/>
    <col min="11265" max="11265" width="11.140625" bestFit="1" customWidth="1"/>
    <col min="11266" max="11266" width="56.85546875" bestFit="1" customWidth="1"/>
    <col min="11268" max="11268" width="11.5703125" bestFit="1" customWidth="1"/>
    <col min="11521" max="11521" width="11.140625" bestFit="1" customWidth="1"/>
    <col min="11522" max="11522" width="56.85546875" bestFit="1" customWidth="1"/>
    <col min="11524" max="11524" width="11.5703125" bestFit="1" customWidth="1"/>
    <col min="11777" max="11777" width="11.140625" bestFit="1" customWidth="1"/>
    <col min="11778" max="11778" width="56.85546875" bestFit="1" customWidth="1"/>
    <col min="11780" max="11780" width="11.5703125" bestFit="1" customWidth="1"/>
    <col min="12033" max="12033" width="11.140625" bestFit="1" customWidth="1"/>
    <col min="12034" max="12034" width="56.85546875" bestFit="1" customWidth="1"/>
    <col min="12036" max="12036" width="11.5703125" bestFit="1" customWidth="1"/>
    <col min="12289" max="12289" width="11.140625" bestFit="1" customWidth="1"/>
    <col min="12290" max="12290" width="56.85546875" bestFit="1" customWidth="1"/>
    <col min="12292" max="12292" width="11.5703125" bestFit="1" customWidth="1"/>
    <col min="12545" max="12545" width="11.140625" bestFit="1" customWidth="1"/>
    <col min="12546" max="12546" width="56.85546875" bestFit="1" customWidth="1"/>
    <col min="12548" max="12548" width="11.5703125" bestFit="1" customWidth="1"/>
    <col min="12801" max="12801" width="11.140625" bestFit="1" customWidth="1"/>
    <col min="12802" max="12802" width="56.85546875" bestFit="1" customWidth="1"/>
    <col min="12804" max="12804" width="11.5703125" bestFit="1" customWidth="1"/>
    <col min="13057" max="13057" width="11.140625" bestFit="1" customWidth="1"/>
    <col min="13058" max="13058" width="56.85546875" bestFit="1" customWidth="1"/>
    <col min="13060" max="13060" width="11.5703125" bestFit="1" customWidth="1"/>
    <col min="13313" max="13313" width="11.140625" bestFit="1" customWidth="1"/>
    <col min="13314" max="13314" width="56.85546875" bestFit="1" customWidth="1"/>
    <col min="13316" max="13316" width="11.5703125" bestFit="1" customWidth="1"/>
    <col min="13569" max="13569" width="11.140625" bestFit="1" customWidth="1"/>
    <col min="13570" max="13570" width="56.85546875" bestFit="1" customWidth="1"/>
    <col min="13572" max="13572" width="11.5703125" bestFit="1" customWidth="1"/>
    <col min="13825" max="13825" width="11.140625" bestFit="1" customWidth="1"/>
    <col min="13826" max="13826" width="56.85546875" bestFit="1" customWidth="1"/>
    <col min="13828" max="13828" width="11.5703125" bestFit="1" customWidth="1"/>
    <col min="14081" max="14081" width="11.140625" bestFit="1" customWidth="1"/>
    <col min="14082" max="14082" width="56.85546875" bestFit="1" customWidth="1"/>
    <col min="14084" max="14084" width="11.5703125" bestFit="1" customWidth="1"/>
    <col min="14337" max="14337" width="11.140625" bestFit="1" customWidth="1"/>
    <col min="14338" max="14338" width="56.85546875" bestFit="1" customWidth="1"/>
    <col min="14340" max="14340" width="11.5703125" bestFit="1" customWidth="1"/>
    <col min="14593" max="14593" width="11.140625" bestFit="1" customWidth="1"/>
    <col min="14594" max="14594" width="56.85546875" bestFit="1" customWidth="1"/>
    <col min="14596" max="14596" width="11.5703125" bestFit="1" customWidth="1"/>
    <col min="14849" max="14849" width="11.140625" bestFit="1" customWidth="1"/>
    <col min="14850" max="14850" width="56.85546875" bestFit="1" customWidth="1"/>
    <col min="14852" max="14852" width="11.5703125" bestFit="1" customWidth="1"/>
    <col min="15105" max="15105" width="11.140625" bestFit="1" customWidth="1"/>
    <col min="15106" max="15106" width="56.85546875" bestFit="1" customWidth="1"/>
    <col min="15108" max="15108" width="11.5703125" bestFit="1" customWidth="1"/>
    <col min="15361" max="15361" width="11.140625" bestFit="1" customWidth="1"/>
    <col min="15362" max="15362" width="56.85546875" bestFit="1" customWidth="1"/>
    <col min="15364" max="15364" width="11.5703125" bestFit="1" customWidth="1"/>
    <col min="15617" max="15617" width="11.140625" bestFit="1" customWidth="1"/>
    <col min="15618" max="15618" width="56.85546875" bestFit="1" customWidth="1"/>
    <col min="15620" max="15620" width="11.5703125" bestFit="1" customWidth="1"/>
    <col min="15873" max="15873" width="11.140625" bestFit="1" customWidth="1"/>
    <col min="15874" max="15874" width="56.85546875" bestFit="1" customWidth="1"/>
    <col min="15876" max="15876" width="11.5703125" bestFit="1" customWidth="1"/>
    <col min="16129" max="16129" width="11.140625" bestFit="1" customWidth="1"/>
    <col min="16130" max="16130" width="56.85546875" bestFit="1" customWidth="1"/>
    <col min="16132" max="16132" width="11.5703125" bestFit="1" customWidth="1"/>
  </cols>
  <sheetData>
    <row r="1" spans="1:16" x14ac:dyDescent="0.25">
      <c r="C1" t="s">
        <v>226</v>
      </c>
      <c r="D1">
        <v>400</v>
      </c>
      <c r="E1" t="s">
        <v>227</v>
      </c>
      <c r="F1">
        <v>0.73</v>
      </c>
    </row>
    <row r="2" spans="1:16" x14ac:dyDescent="0.25">
      <c r="A2" s="54" t="s">
        <v>171</v>
      </c>
      <c r="B2" s="55"/>
      <c r="C2" s="201" t="s">
        <v>124</v>
      </c>
      <c r="D2" s="202"/>
      <c r="E2" s="202"/>
      <c r="F2" s="202"/>
      <c r="G2" s="203"/>
      <c r="H2" s="105" t="s">
        <v>236</v>
      </c>
      <c r="I2" s="105"/>
      <c r="J2" s="105"/>
      <c r="K2" t="s">
        <v>228</v>
      </c>
      <c r="L2" t="s">
        <v>237</v>
      </c>
    </row>
    <row r="3" spans="1:16" x14ac:dyDescent="0.25">
      <c r="A3" s="55" t="s">
        <v>125</v>
      </c>
      <c r="B3" s="55" t="s">
        <v>126</v>
      </c>
      <c r="C3" s="55" t="s">
        <v>127</v>
      </c>
      <c r="D3" s="55" t="s">
        <v>128</v>
      </c>
      <c r="E3" s="55" t="s">
        <v>129</v>
      </c>
      <c r="F3" s="55" t="s">
        <v>130</v>
      </c>
      <c r="G3" s="55" t="s">
        <v>131</v>
      </c>
      <c r="J3" t="s">
        <v>238</v>
      </c>
      <c r="K3">
        <v>0.85</v>
      </c>
      <c r="L3">
        <v>0.06</v>
      </c>
    </row>
    <row r="4" spans="1:16" x14ac:dyDescent="0.25">
      <c r="A4" s="55">
        <v>22</v>
      </c>
      <c r="B4" s="55" t="s">
        <v>132</v>
      </c>
      <c r="C4" s="55">
        <v>1199</v>
      </c>
      <c r="D4" s="55">
        <v>62</v>
      </c>
      <c r="E4" s="55">
        <v>376</v>
      </c>
      <c r="F4" s="55">
        <v>348</v>
      </c>
      <c r="G4" s="55">
        <v>1985</v>
      </c>
      <c r="H4">
        <f>((C5+C8+(K3*C4))*$E$36+(C4*L3*$E$35))*D1*F1*365*$I$37*$J$37*0.000001*0.001</f>
        <v>0.70822884585514267</v>
      </c>
      <c r="J4" t="s">
        <v>239</v>
      </c>
      <c r="K4">
        <v>1</v>
      </c>
      <c r="L4">
        <v>0</v>
      </c>
    </row>
    <row r="5" spans="1:16" x14ac:dyDescent="0.25">
      <c r="A5" s="55">
        <v>24</v>
      </c>
      <c r="B5" s="55" t="s">
        <v>135</v>
      </c>
      <c r="C5" s="55">
        <v>206</v>
      </c>
      <c r="D5" s="55">
        <v>44</v>
      </c>
      <c r="E5" s="55">
        <v>188</v>
      </c>
      <c r="F5" s="55">
        <v>119</v>
      </c>
      <c r="G5" s="55">
        <v>557</v>
      </c>
      <c r="J5" t="s">
        <v>240</v>
      </c>
      <c r="K5">
        <v>1</v>
      </c>
      <c r="L5">
        <v>0</v>
      </c>
    </row>
    <row r="6" spans="1:16" x14ac:dyDescent="0.25">
      <c r="A6" s="55">
        <v>25</v>
      </c>
      <c r="B6" s="55" t="s">
        <v>139</v>
      </c>
      <c r="C6" s="55">
        <v>1469</v>
      </c>
      <c r="D6" s="55">
        <v>410</v>
      </c>
      <c r="E6" s="55">
        <v>1019</v>
      </c>
      <c r="F6" s="55">
        <v>1800</v>
      </c>
      <c r="G6" s="55">
        <v>4698</v>
      </c>
    </row>
    <row r="7" spans="1:16" x14ac:dyDescent="0.25">
      <c r="A7" s="55"/>
      <c r="B7" s="55" t="s">
        <v>141</v>
      </c>
      <c r="C7" s="55"/>
      <c r="D7" s="55"/>
      <c r="E7" s="55"/>
      <c r="F7" s="55">
        <v>1761</v>
      </c>
      <c r="G7" s="55">
        <v>1761</v>
      </c>
      <c r="H7" s="101" t="s">
        <v>241</v>
      </c>
      <c r="I7" s="101"/>
      <c r="J7" s="101"/>
    </row>
    <row r="8" spans="1:16" x14ac:dyDescent="0.25">
      <c r="A8" s="55"/>
      <c r="B8" s="55" t="s">
        <v>167</v>
      </c>
      <c r="C8" s="55">
        <v>1469</v>
      </c>
      <c r="D8" s="55">
        <v>410</v>
      </c>
      <c r="E8" s="55">
        <v>1019</v>
      </c>
      <c r="F8" s="55">
        <v>3561</v>
      </c>
      <c r="G8" s="55">
        <v>6459</v>
      </c>
      <c r="K8" t="s">
        <v>242</v>
      </c>
      <c r="L8" t="s">
        <v>243</v>
      </c>
      <c r="M8" t="s">
        <v>251</v>
      </c>
      <c r="N8" t="s">
        <v>251</v>
      </c>
      <c r="P8" t="s">
        <v>226</v>
      </c>
    </row>
    <row r="9" spans="1:16" x14ac:dyDescent="0.25">
      <c r="A9" s="57" t="s">
        <v>143</v>
      </c>
      <c r="B9" s="57"/>
      <c r="C9" s="57">
        <v>2874</v>
      </c>
      <c r="D9" s="57">
        <v>516</v>
      </c>
      <c r="E9" s="57">
        <v>1583</v>
      </c>
      <c r="F9" s="57">
        <v>4028</v>
      </c>
      <c r="G9" s="57">
        <v>9001</v>
      </c>
      <c r="H9" s="100">
        <f>H11+H12+H13</f>
        <v>2.6500717439192858</v>
      </c>
      <c r="I9" s="100" t="s">
        <v>250</v>
      </c>
      <c r="J9" t="s">
        <v>238</v>
      </c>
      <c r="K9">
        <v>1</v>
      </c>
      <c r="L9">
        <v>1</v>
      </c>
      <c r="M9">
        <v>0.06</v>
      </c>
      <c r="N9">
        <v>0.06</v>
      </c>
      <c r="O9" t="s">
        <v>245</v>
      </c>
      <c r="P9">
        <v>75</v>
      </c>
    </row>
    <row r="10" spans="1:16" x14ac:dyDescent="0.25">
      <c r="A10" s="103"/>
      <c r="B10" s="103"/>
      <c r="C10" s="103"/>
      <c r="D10" s="103"/>
      <c r="E10" s="103"/>
      <c r="F10" s="103">
        <f>SUM(F4:F6)</f>
        <v>2267</v>
      </c>
      <c r="G10" s="103"/>
      <c r="J10" t="s">
        <v>239</v>
      </c>
      <c r="K10">
        <v>1</v>
      </c>
      <c r="L10">
        <v>0</v>
      </c>
      <c r="O10" t="s">
        <v>246</v>
      </c>
      <c r="P10">
        <v>150</v>
      </c>
    </row>
    <row r="11" spans="1:16" x14ac:dyDescent="0.25">
      <c r="A11" s="103"/>
      <c r="B11" s="103"/>
      <c r="C11" s="103"/>
      <c r="D11" s="103"/>
      <c r="E11" s="103"/>
      <c r="F11" s="103"/>
      <c r="G11" s="103"/>
      <c r="H11">
        <f>F7*P12*F1*$K$14*$I$37*$J$37*365*0.001*0.000001</f>
        <v>2.1972829701428571</v>
      </c>
      <c r="I11" t="s">
        <v>243</v>
      </c>
      <c r="J11" t="s">
        <v>240</v>
      </c>
      <c r="K11">
        <v>1</v>
      </c>
      <c r="L11">
        <v>0</v>
      </c>
      <c r="O11" t="s">
        <v>247</v>
      </c>
      <c r="P11">
        <v>200</v>
      </c>
    </row>
    <row r="12" spans="1:16" x14ac:dyDescent="0.25">
      <c r="A12" s="103"/>
      <c r="B12" s="103"/>
      <c r="C12" s="103"/>
      <c r="D12" s="103"/>
      <c r="E12" s="103"/>
      <c r="F12" s="103"/>
      <c r="G12" s="103"/>
      <c r="H12">
        <f>((D9*P9)+((E8+E5+(E4*K3))*P10)+((F5+F6+(F4*K3))*P11))*F1*$E$36*$I$37*$J$37*365*0.001*0.000001</f>
        <v>0.44335580429642857</v>
      </c>
      <c r="I12" t="s">
        <v>242</v>
      </c>
      <c r="J12" t="s">
        <v>181</v>
      </c>
      <c r="K12">
        <v>1</v>
      </c>
      <c r="O12" t="s">
        <v>248</v>
      </c>
      <c r="P12">
        <v>500</v>
      </c>
    </row>
    <row r="13" spans="1:16" x14ac:dyDescent="0.25">
      <c r="A13" s="103"/>
      <c r="B13" s="103"/>
      <c r="C13" s="103"/>
      <c r="D13" s="103"/>
      <c r="E13" s="103"/>
      <c r="F13" s="103"/>
      <c r="G13" s="103"/>
      <c r="H13">
        <f>(E4*P10*M9+F4*P11*N9)*F1*365*0.001*$E$35*$I$37*$J$37*0.000001</f>
        <v>9.4329694800000009E-3</v>
      </c>
      <c r="I13" t="s">
        <v>251</v>
      </c>
    </row>
    <row r="14" spans="1:16" x14ac:dyDescent="0.25">
      <c r="J14" t="s">
        <v>249</v>
      </c>
      <c r="K14">
        <v>0.02</v>
      </c>
    </row>
    <row r="15" spans="1:16" x14ac:dyDescent="0.25">
      <c r="A15" s="54" t="s">
        <v>171</v>
      </c>
      <c r="B15" s="55"/>
      <c r="C15" s="201" t="s">
        <v>144</v>
      </c>
      <c r="D15" s="202"/>
      <c r="E15" s="202"/>
      <c r="F15" s="202"/>
      <c r="G15" s="203"/>
    </row>
    <row r="16" spans="1:16" x14ac:dyDescent="0.25">
      <c r="A16" s="55" t="s">
        <v>125</v>
      </c>
      <c r="B16" s="55" t="s">
        <v>126</v>
      </c>
      <c r="C16" s="55" t="s">
        <v>145</v>
      </c>
      <c r="D16" s="55" t="s">
        <v>146</v>
      </c>
      <c r="E16" s="55" t="s">
        <v>147</v>
      </c>
      <c r="F16" s="55" t="s">
        <v>148</v>
      </c>
      <c r="G16" s="55" t="s">
        <v>131</v>
      </c>
      <c r="H16" s="34" t="s">
        <v>228</v>
      </c>
      <c r="I16" s="34" t="s">
        <v>229</v>
      </c>
      <c r="J16" s="34" t="s">
        <v>230</v>
      </c>
      <c r="K16" s="34" t="s">
        <v>231</v>
      </c>
    </row>
    <row r="17" spans="1:11" x14ac:dyDescent="0.25">
      <c r="A17" s="55">
        <v>22</v>
      </c>
      <c r="B17" s="55" t="s">
        <v>132</v>
      </c>
      <c r="C17" s="55">
        <v>41</v>
      </c>
      <c r="D17" s="55">
        <v>405</v>
      </c>
      <c r="E17" s="55">
        <v>364</v>
      </c>
      <c r="F17" s="55">
        <v>579</v>
      </c>
      <c r="G17" s="55">
        <v>1389</v>
      </c>
      <c r="H17" s="34">
        <v>1</v>
      </c>
      <c r="I17" s="34">
        <v>0</v>
      </c>
      <c r="J17" s="34">
        <v>0</v>
      </c>
      <c r="K17" s="34">
        <f>SUM(H17:J17)</f>
        <v>1</v>
      </c>
    </row>
    <row r="18" spans="1:11" x14ac:dyDescent="0.25">
      <c r="A18" s="55">
        <v>24</v>
      </c>
      <c r="B18" s="55" t="s">
        <v>135</v>
      </c>
      <c r="C18" s="55">
        <v>66</v>
      </c>
      <c r="D18" s="55">
        <v>458</v>
      </c>
      <c r="E18" s="55">
        <v>603</v>
      </c>
      <c r="F18" s="55">
        <v>1907</v>
      </c>
      <c r="G18" s="55">
        <v>3034</v>
      </c>
      <c r="H18" s="34">
        <v>0.5</v>
      </c>
      <c r="I18" s="34">
        <v>0.25</v>
      </c>
      <c r="J18" s="34">
        <v>0.25</v>
      </c>
      <c r="K18" s="34">
        <f>SUM(H18:J18)</f>
        <v>1</v>
      </c>
    </row>
    <row r="19" spans="1:11" x14ac:dyDescent="0.25">
      <c r="A19" s="55">
        <v>25</v>
      </c>
      <c r="B19" s="55" t="s">
        <v>139</v>
      </c>
      <c r="C19" s="55">
        <v>222</v>
      </c>
      <c r="D19" s="55">
        <v>2078</v>
      </c>
      <c r="E19" s="55">
        <v>2977</v>
      </c>
      <c r="F19" s="55">
        <v>6261</v>
      </c>
      <c r="G19" s="55">
        <v>11538</v>
      </c>
      <c r="H19" s="34">
        <v>0.5</v>
      </c>
      <c r="I19" s="34">
        <v>0</v>
      </c>
      <c r="J19" s="34">
        <v>0.5</v>
      </c>
      <c r="K19" s="34">
        <f>SUM(H19:J19)</f>
        <v>1</v>
      </c>
    </row>
    <row r="20" spans="1:11" x14ac:dyDescent="0.25">
      <c r="A20" s="57" t="s">
        <v>143</v>
      </c>
      <c r="B20" s="57"/>
      <c r="C20" s="57">
        <v>329</v>
      </c>
      <c r="D20" s="57">
        <v>2941</v>
      </c>
      <c r="E20" s="57">
        <v>3944</v>
      </c>
      <c r="F20" s="57">
        <v>8747</v>
      </c>
      <c r="G20" s="57">
        <v>15961</v>
      </c>
    </row>
    <row r="21" spans="1:11" x14ac:dyDescent="0.25">
      <c r="C21">
        <f>C20/G20%</f>
        <v>2.0612743562433429</v>
      </c>
      <c r="D21">
        <f>D20/G20%</f>
        <v>18.426163774199608</v>
      </c>
      <c r="E21">
        <f>E20/G20%</f>
        <v>24.71023118852202</v>
      </c>
      <c r="F21">
        <f>F20/G20%</f>
        <v>54.802330681035016</v>
      </c>
      <c r="G21">
        <f>SUM(C21:F21)</f>
        <v>99.999999999999986</v>
      </c>
    </row>
    <row r="22" spans="1:11" hidden="1" outlineLevel="1" x14ac:dyDescent="0.25"/>
    <row r="23" spans="1:11" hidden="1" outlineLevel="1" x14ac:dyDescent="0.25"/>
    <row r="24" spans="1:11" hidden="1" outlineLevel="1" x14ac:dyDescent="0.25"/>
    <row r="25" spans="1:11" hidden="1" outlineLevel="1" x14ac:dyDescent="0.25"/>
    <row r="26" spans="1:11" hidden="1" outlineLevel="1" x14ac:dyDescent="0.25"/>
    <row r="27" spans="1:11" hidden="1" outlineLevel="1" x14ac:dyDescent="0.25"/>
    <row r="28" spans="1:11" hidden="1" outlineLevel="1" x14ac:dyDescent="0.25"/>
    <row r="29" spans="1:11" hidden="1" outlineLevel="1" x14ac:dyDescent="0.25"/>
    <row r="30" spans="1:11" collapsed="1" x14ac:dyDescent="0.25"/>
    <row r="32" spans="1:11" x14ac:dyDescent="0.25">
      <c r="B32" t="s">
        <v>226</v>
      </c>
      <c r="C32">
        <v>150</v>
      </c>
      <c r="D32">
        <v>125</v>
      </c>
      <c r="E32">
        <v>13</v>
      </c>
      <c r="F32">
        <v>90</v>
      </c>
    </row>
    <row r="33" spans="2:10" x14ac:dyDescent="0.25">
      <c r="B33" t="s">
        <v>227</v>
      </c>
      <c r="C33">
        <v>0.55000000000000004</v>
      </c>
      <c r="D33">
        <v>0.55000000000000004</v>
      </c>
      <c r="E33">
        <v>1.57</v>
      </c>
      <c r="F33">
        <v>1.57</v>
      </c>
    </row>
    <row r="35" spans="2:10" x14ac:dyDescent="0.25">
      <c r="B35" t="s">
        <v>232</v>
      </c>
      <c r="C35">
        <f>(((C18*$C$32*$C$33)+(D18*$D$32*$D$33)+(E18*$E$32*$E$33)+(F18*$F$32*$F$33))*I18)*365/1000</f>
        <v>29081.2682375</v>
      </c>
      <c r="E35">
        <v>0.01</v>
      </c>
      <c r="G35">
        <f>C35*E35</f>
        <v>290.81268237500001</v>
      </c>
    </row>
    <row r="36" spans="2:10" x14ac:dyDescent="0.25">
      <c r="B36" t="s">
        <v>233</v>
      </c>
      <c r="C36">
        <f>((((C18*$C$32*$C$33)+(D18*$D$32*$D$33)+(E18*$E$32*$E$33)+(F18*$F$32*$F$33))*H18)+(((C19*$C$32*$C$33)+(D19*$D$32*$D$33)+(E19*$E$32*$E$33)+(F19*$F$32*$F$33))*H19)+(((C17*$C$32*$C$33)+(D17*$D$32*$D$33)+(E17*$E$32*$E$33)+(F17*$F$32*$F$33))*H17))*365/1000</f>
        <v>304091.09585000004</v>
      </c>
      <c r="E36">
        <v>5.0000000000000001E-3</v>
      </c>
      <c r="G36">
        <f>C36*E36</f>
        <v>1520.4554792500003</v>
      </c>
    </row>
    <row r="37" spans="2:10" x14ac:dyDescent="0.25">
      <c r="B37" t="s">
        <v>234</v>
      </c>
      <c r="C37">
        <f>C35+C36</f>
        <v>333172.36408750003</v>
      </c>
      <c r="I37">
        <v>298</v>
      </c>
      <c r="J37">
        <f>44/28</f>
        <v>1.5714285714285714</v>
      </c>
    </row>
    <row r="39" spans="2:10" x14ac:dyDescent="0.25">
      <c r="C39">
        <f>(G35+G36)*I37*J37/1000000</f>
        <v>0.84819100482953569</v>
      </c>
    </row>
  </sheetData>
  <mergeCells count="2">
    <mergeCell ref="C2:G2"/>
    <mergeCell ref="C15:G1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9" sqref="E9"/>
    </sheetView>
  </sheetViews>
  <sheetFormatPr defaultRowHeight="15" x14ac:dyDescent="0.25"/>
  <cols>
    <col min="1" max="1" width="13.42578125" bestFit="1" customWidth="1"/>
    <col min="3" max="3" width="38.28515625" customWidth="1"/>
    <col min="4" max="4" width="14.5703125" bestFit="1" customWidth="1"/>
    <col min="5" max="5" width="23" bestFit="1" customWidth="1"/>
    <col min="257" max="257" width="13.42578125" bestFit="1" customWidth="1"/>
    <col min="259" max="259" width="38.28515625" customWidth="1"/>
    <col min="260" max="260" width="14.5703125" bestFit="1" customWidth="1"/>
    <col min="261" max="261" width="23" bestFit="1" customWidth="1"/>
    <col min="513" max="513" width="13.42578125" bestFit="1" customWidth="1"/>
    <col min="515" max="515" width="38.28515625" customWidth="1"/>
    <col min="516" max="516" width="14.5703125" bestFit="1" customWidth="1"/>
    <col min="517" max="517" width="23" bestFit="1" customWidth="1"/>
    <col min="769" max="769" width="13.42578125" bestFit="1" customWidth="1"/>
    <col min="771" max="771" width="38.28515625" customWidth="1"/>
    <col min="772" max="772" width="14.5703125" bestFit="1" customWidth="1"/>
    <col min="773" max="773" width="23" bestFit="1" customWidth="1"/>
    <col min="1025" max="1025" width="13.42578125" bestFit="1" customWidth="1"/>
    <col min="1027" max="1027" width="38.28515625" customWidth="1"/>
    <col min="1028" max="1028" width="14.5703125" bestFit="1" customWidth="1"/>
    <col min="1029" max="1029" width="23" bestFit="1" customWidth="1"/>
    <col min="1281" max="1281" width="13.42578125" bestFit="1" customWidth="1"/>
    <col min="1283" max="1283" width="38.28515625" customWidth="1"/>
    <col min="1284" max="1284" width="14.5703125" bestFit="1" customWidth="1"/>
    <col min="1285" max="1285" width="23" bestFit="1" customWidth="1"/>
    <col min="1537" max="1537" width="13.42578125" bestFit="1" customWidth="1"/>
    <col min="1539" max="1539" width="38.28515625" customWidth="1"/>
    <col min="1540" max="1540" width="14.5703125" bestFit="1" customWidth="1"/>
    <col min="1541" max="1541" width="23" bestFit="1" customWidth="1"/>
    <col min="1793" max="1793" width="13.42578125" bestFit="1" customWidth="1"/>
    <col min="1795" max="1795" width="38.28515625" customWidth="1"/>
    <col min="1796" max="1796" width="14.5703125" bestFit="1" customWidth="1"/>
    <col min="1797" max="1797" width="23" bestFit="1" customWidth="1"/>
    <col min="2049" max="2049" width="13.42578125" bestFit="1" customWidth="1"/>
    <col min="2051" max="2051" width="38.28515625" customWidth="1"/>
    <col min="2052" max="2052" width="14.5703125" bestFit="1" customWidth="1"/>
    <col min="2053" max="2053" width="23" bestFit="1" customWidth="1"/>
    <col min="2305" max="2305" width="13.42578125" bestFit="1" customWidth="1"/>
    <col min="2307" max="2307" width="38.28515625" customWidth="1"/>
    <col min="2308" max="2308" width="14.5703125" bestFit="1" customWidth="1"/>
    <col min="2309" max="2309" width="23" bestFit="1" customWidth="1"/>
    <col min="2561" max="2561" width="13.42578125" bestFit="1" customWidth="1"/>
    <col min="2563" max="2563" width="38.28515625" customWidth="1"/>
    <col min="2564" max="2564" width="14.5703125" bestFit="1" customWidth="1"/>
    <col min="2565" max="2565" width="23" bestFit="1" customWidth="1"/>
    <col min="2817" max="2817" width="13.42578125" bestFit="1" customWidth="1"/>
    <col min="2819" max="2819" width="38.28515625" customWidth="1"/>
    <col min="2820" max="2820" width="14.5703125" bestFit="1" customWidth="1"/>
    <col min="2821" max="2821" width="23" bestFit="1" customWidth="1"/>
    <col min="3073" max="3073" width="13.42578125" bestFit="1" customWidth="1"/>
    <col min="3075" max="3075" width="38.28515625" customWidth="1"/>
    <col min="3076" max="3076" width="14.5703125" bestFit="1" customWidth="1"/>
    <col min="3077" max="3077" width="23" bestFit="1" customWidth="1"/>
    <col min="3329" max="3329" width="13.42578125" bestFit="1" customWidth="1"/>
    <col min="3331" max="3331" width="38.28515625" customWidth="1"/>
    <col min="3332" max="3332" width="14.5703125" bestFit="1" customWidth="1"/>
    <col min="3333" max="3333" width="23" bestFit="1" customWidth="1"/>
    <col min="3585" max="3585" width="13.42578125" bestFit="1" customWidth="1"/>
    <col min="3587" max="3587" width="38.28515625" customWidth="1"/>
    <col min="3588" max="3588" width="14.5703125" bestFit="1" customWidth="1"/>
    <col min="3589" max="3589" width="23" bestFit="1" customWidth="1"/>
    <col min="3841" max="3841" width="13.42578125" bestFit="1" customWidth="1"/>
    <col min="3843" max="3843" width="38.28515625" customWidth="1"/>
    <col min="3844" max="3844" width="14.5703125" bestFit="1" customWidth="1"/>
    <col min="3845" max="3845" width="23" bestFit="1" customWidth="1"/>
    <col min="4097" max="4097" width="13.42578125" bestFit="1" customWidth="1"/>
    <col min="4099" max="4099" width="38.28515625" customWidth="1"/>
    <col min="4100" max="4100" width="14.5703125" bestFit="1" customWidth="1"/>
    <col min="4101" max="4101" width="23" bestFit="1" customWidth="1"/>
    <col min="4353" max="4353" width="13.42578125" bestFit="1" customWidth="1"/>
    <col min="4355" max="4355" width="38.28515625" customWidth="1"/>
    <col min="4356" max="4356" width="14.5703125" bestFit="1" customWidth="1"/>
    <col min="4357" max="4357" width="23" bestFit="1" customWidth="1"/>
    <col min="4609" max="4609" width="13.42578125" bestFit="1" customWidth="1"/>
    <col min="4611" max="4611" width="38.28515625" customWidth="1"/>
    <col min="4612" max="4612" width="14.5703125" bestFit="1" customWidth="1"/>
    <col min="4613" max="4613" width="23" bestFit="1" customWidth="1"/>
    <col min="4865" max="4865" width="13.42578125" bestFit="1" customWidth="1"/>
    <col min="4867" max="4867" width="38.28515625" customWidth="1"/>
    <col min="4868" max="4868" width="14.5703125" bestFit="1" customWidth="1"/>
    <col min="4869" max="4869" width="23" bestFit="1" customWidth="1"/>
    <col min="5121" max="5121" width="13.42578125" bestFit="1" customWidth="1"/>
    <col min="5123" max="5123" width="38.28515625" customWidth="1"/>
    <col min="5124" max="5124" width="14.5703125" bestFit="1" customWidth="1"/>
    <col min="5125" max="5125" width="23" bestFit="1" customWidth="1"/>
    <col min="5377" max="5377" width="13.42578125" bestFit="1" customWidth="1"/>
    <col min="5379" max="5379" width="38.28515625" customWidth="1"/>
    <col min="5380" max="5380" width="14.5703125" bestFit="1" customWidth="1"/>
    <col min="5381" max="5381" width="23" bestFit="1" customWidth="1"/>
    <col min="5633" max="5633" width="13.42578125" bestFit="1" customWidth="1"/>
    <col min="5635" max="5635" width="38.28515625" customWidth="1"/>
    <col min="5636" max="5636" width="14.5703125" bestFit="1" customWidth="1"/>
    <col min="5637" max="5637" width="23" bestFit="1" customWidth="1"/>
    <col min="5889" max="5889" width="13.42578125" bestFit="1" customWidth="1"/>
    <col min="5891" max="5891" width="38.28515625" customWidth="1"/>
    <col min="5892" max="5892" width="14.5703125" bestFit="1" customWidth="1"/>
    <col min="5893" max="5893" width="23" bestFit="1" customWidth="1"/>
    <col min="6145" max="6145" width="13.42578125" bestFit="1" customWidth="1"/>
    <col min="6147" max="6147" width="38.28515625" customWidth="1"/>
    <col min="6148" max="6148" width="14.5703125" bestFit="1" customWidth="1"/>
    <col min="6149" max="6149" width="23" bestFit="1" customWidth="1"/>
    <col min="6401" max="6401" width="13.42578125" bestFit="1" customWidth="1"/>
    <col min="6403" max="6403" width="38.28515625" customWidth="1"/>
    <col min="6404" max="6404" width="14.5703125" bestFit="1" customWidth="1"/>
    <col min="6405" max="6405" width="23" bestFit="1" customWidth="1"/>
    <col min="6657" max="6657" width="13.42578125" bestFit="1" customWidth="1"/>
    <col min="6659" max="6659" width="38.28515625" customWidth="1"/>
    <col min="6660" max="6660" width="14.5703125" bestFit="1" customWidth="1"/>
    <col min="6661" max="6661" width="23" bestFit="1" customWidth="1"/>
    <col min="6913" max="6913" width="13.42578125" bestFit="1" customWidth="1"/>
    <col min="6915" max="6915" width="38.28515625" customWidth="1"/>
    <col min="6916" max="6916" width="14.5703125" bestFit="1" customWidth="1"/>
    <col min="6917" max="6917" width="23" bestFit="1" customWidth="1"/>
    <col min="7169" max="7169" width="13.42578125" bestFit="1" customWidth="1"/>
    <col min="7171" max="7171" width="38.28515625" customWidth="1"/>
    <col min="7172" max="7172" width="14.5703125" bestFit="1" customWidth="1"/>
    <col min="7173" max="7173" width="23" bestFit="1" customWidth="1"/>
    <col min="7425" max="7425" width="13.42578125" bestFit="1" customWidth="1"/>
    <col min="7427" max="7427" width="38.28515625" customWidth="1"/>
    <col min="7428" max="7428" width="14.5703125" bestFit="1" customWidth="1"/>
    <col min="7429" max="7429" width="23" bestFit="1" customWidth="1"/>
    <col min="7681" max="7681" width="13.42578125" bestFit="1" customWidth="1"/>
    <col min="7683" max="7683" width="38.28515625" customWidth="1"/>
    <col min="7684" max="7684" width="14.5703125" bestFit="1" customWidth="1"/>
    <col min="7685" max="7685" width="23" bestFit="1" customWidth="1"/>
    <col min="7937" max="7937" width="13.42578125" bestFit="1" customWidth="1"/>
    <col min="7939" max="7939" width="38.28515625" customWidth="1"/>
    <col min="7940" max="7940" width="14.5703125" bestFit="1" customWidth="1"/>
    <col min="7941" max="7941" width="23" bestFit="1" customWidth="1"/>
    <col min="8193" max="8193" width="13.42578125" bestFit="1" customWidth="1"/>
    <col min="8195" max="8195" width="38.28515625" customWidth="1"/>
    <col min="8196" max="8196" width="14.5703125" bestFit="1" customWidth="1"/>
    <col min="8197" max="8197" width="23" bestFit="1" customWidth="1"/>
    <col min="8449" max="8449" width="13.42578125" bestFit="1" customWidth="1"/>
    <col min="8451" max="8451" width="38.28515625" customWidth="1"/>
    <col min="8452" max="8452" width="14.5703125" bestFit="1" customWidth="1"/>
    <col min="8453" max="8453" width="23" bestFit="1" customWidth="1"/>
    <col min="8705" max="8705" width="13.42578125" bestFit="1" customWidth="1"/>
    <col min="8707" max="8707" width="38.28515625" customWidth="1"/>
    <col min="8708" max="8708" width="14.5703125" bestFit="1" customWidth="1"/>
    <col min="8709" max="8709" width="23" bestFit="1" customWidth="1"/>
    <col min="8961" max="8961" width="13.42578125" bestFit="1" customWidth="1"/>
    <col min="8963" max="8963" width="38.28515625" customWidth="1"/>
    <col min="8964" max="8964" width="14.5703125" bestFit="1" customWidth="1"/>
    <col min="8965" max="8965" width="23" bestFit="1" customWidth="1"/>
    <col min="9217" max="9217" width="13.42578125" bestFit="1" customWidth="1"/>
    <col min="9219" max="9219" width="38.28515625" customWidth="1"/>
    <col min="9220" max="9220" width="14.5703125" bestFit="1" customWidth="1"/>
    <col min="9221" max="9221" width="23" bestFit="1" customWidth="1"/>
    <col min="9473" max="9473" width="13.42578125" bestFit="1" customWidth="1"/>
    <col min="9475" max="9475" width="38.28515625" customWidth="1"/>
    <col min="9476" max="9476" width="14.5703125" bestFit="1" customWidth="1"/>
    <col min="9477" max="9477" width="23" bestFit="1" customWidth="1"/>
    <col min="9729" max="9729" width="13.42578125" bestFit="1" customWidth="1"/>
    <col min="9731" max="9731" width="38.28515625" customWidth="1"/>
    <col min="9732" max="9732" width="14.5703125" bestFit="1" customWidth="1"/>
    <col min="9733" max="9733" width="23" bestFit="1" customWidth="1"/>
    <col min="9985" max="9985" width="13.42578125" bestFit="1" customWidth="1"/>
    <col min="9987" max="9987" width="38.28515625" customWidth="1"/>
    <col min="9988" max="9988" width="14.5703125" bestFit="1" customWidth="1"/>
    <col min="9989" max="9989" width="23" bestFit="1" customWidth="1"/>
    <col min="10241" max="10241" width="13.42578125" bestFit="1" customWidth="1"/>
    <col min="10243" max="10243" width="38.28515625" customWidth="1"/>
    <col min="10244" max="10244" width="14.5703125" bestFit="1" customWidth="1"/>
    <col min="10245" max="10245" width="23" bestFit="1" customWidth="1"/>
    <col min="10497" max="10497" width="13.42578125" bestFit="1" customWidth="1"/>
    <col min="10499" max="10499" width="38.28515625" customWidth="1"/>
    <col min="10500" max="10500" width="14.5703125" bestFit="1" customWidth="1"/>
    <col min="10501" max="10501" width="23" bestFit="1" customWidth="1"/>
    <col min="10753" max="10753" width="13.42578125" bestFit="1" customWidth="1"/>
    <col min="10755" max="10755" width="38.28515625" customWidth="1"/>
    <col min="10756" max="10756" width="14.5703125" bestFit="1" customWidth="1"/>
    <col min="10757" max="10757" width="23" bestFit="1" customWidth="1"/>
    <col min="11009" max="11009" width="13.42578125" bestFit="1" customWidth="1"/>
    <col min="11011" max="11011" width="38.28515625" customWidth="1"/>
    <col min="11012" max="11012" width="14.5703125" bestFit="1" customWidth="1"/>
    <col min="11013" max="11013" width="23" bestFit="1" customWidth="1"/>
    <col min="11265" max="11265" width="13.42578125" bestFit="1" customWidth="1"/>
    <col min="11267" max="11267" width="38.28515625" customWidth="1"/>
    <col min="11268" max="11268" width="14.5703125" bestFit="1" customWidth="1"/>
    <col min="11269" max="11269" width="23" bestFit="1" customWidth="1"/>
    <col min="11521" max="11521" width="13.42578125" bestFit="1" customWidth="1"/>
    <col min="11523" max="11523" width="38.28515625" customWidth="1"/>
    <col min="11524" max="11524" width="14.5703125" bestFit="1" customWidth="1"/>
    <col min="11525" max="11525" width="23" bestFit="1" customWidth="1"/>
    <col min="11777" max="11777" width="13.42578125" bestFit="1" customWidth="1"/>
    <col min="11779" max="11779" width="38.28515625" customWidth="1"/>
    <col min="11780" max="11780" width="14.5703125" bestFit="1" customWidth="1"/>
    <col min="11781" max="11781" width="23" bestFit="1" customWidth="1"/>
    <col min="12033" max="12033" width="13.42578125" bestFit="1" customWidth="1"/>
    <col min="12035" max="12035" width="38.28515625" customWidth="1"/>
    <col min="12036" max="12036" width="14.5703125" bestFit="1" customWidth="1"/>
    <col min="12037" max="12037" width="23" bestFit="1" customWidth="1"/>
    <col min="12289" max="12289" width="13.42578125" bestFit="1" customWidth="1"/>
    <col min="12291" max="12291" width="38.28515625" customWidth="1"/>
    <col min="12292" max="12292" width="14.5703125" bestFit="1" customWidth="1"/>
    <col min="12293" max="12293" width="23" bestFit="1" customWidth="1"/>
    <col min="12545" max="12545" width="13.42578125" bestFit="1" customWidth="1"/>
    <col min="12547" max="12547" width="38.28515625" customWidth="1"/>
    <col min="12548" max="12548" width="14.5703125" bestFit="1" customWidth="1"/>
    <col min="12549" max="12549" width="23" bestFit="1" customWidth="1"/>
    <col min="12801" max="12801" width="13.42578125" bestFit="1" customWidth="1"/>
    <col min="12803" max="12803" width="38.28515625" customWidth="1"/>
    <col min="12804" max="12804" width="14.5703125" bestFit="1" customWidth="1"/>
    <col min="12805" max="12805" width="23" bestFit="1" customWidth="1"/>
    <col min="13057" max="13057" width="13.42578125" bestFit="1" customWidth="1"/>
    <col min="13059" max="13059" width="38.28515625" customWidth="1"/>
    <col min="13060" max="13060" width="14.5703125" bestFit="1" customWidth="1"/>
    <col min="13061" max="13061" width="23" bestFit="1" customWidth="1"/>
    <col min="13313" max="13313" width="13.42578125" bestFit="1" customWidth="1"/>
    <col min="13315" max="13315" width="38.28515625" customWidth="1"/>
    <col min="13316" max="13316" width="14.5703125" bestFit="1" customWidth="1"/>
    <col min="13317" max="13317" width="23" bestFit="1" customWidth="1"/>
    <col min="13569" max="13569" width="13.42578125" bestFit="1" customWidth="1"/>
    <col min="13571" max="13571" width="38.28515625" customWidth="1"/>
    <col min="13572" max="13572" width="14.5703125" bestFit="1" customWidth="1"/>
    <col min="13573" max="13573" width="23" bestFit="1" customWidth="1"/>
    <col min="13825" max="13825" width="13.42578125" bestFit="1" customWidth="1"/>
    <col min="13827" max="13827" width="38.28515625" customWidth="1"/>
    <col min="13828" max="13828" width="14.5703125" bestFit="1" customWidth="1"/>
    <col min="13829" max="13829" width="23" bestFit="1" customWidth="1"/>
    <col min="14081" max="14081" width="13.42578125" bestFit="1" customWidth="1"/>
    <col min="14083" max="14083" width="38.28515625" customWidth="1"/>
    <col min="14084" max="14084" width="14.5703125" bestFit="1" customWidth="1"/>
    <col min="14085" max="14085" width="23" bestFit="1" customWidth="1"/>
    <col min="14337" max="14337" width="13.42578125" bestFit="1" customWidth="1"/>
    <col min="14339" max="14339" width="38.28515625" customWidth="1"/>
    <col min="14340" max="14340" width="14.5703125" bestFit="1" customWidth="1"/>
    <col min="14341" max="14341" width="23" bestFit="1" customWidth="1"/>
    <col min="14593" max="14593" width="13.42578125" bestFit="1" customWidth="1"/>
    <col min="14595" max="14595" width="38.28515625" customWidth="1"/>
    <col min="14596" max="14596" width="14.5703125" bestFit="1" customWidth="1"/>
    <col min="14597" max="14597" width="23" bestFit="1" customWidth="1"/>
    <col min="14849" max="14849" width="13.42578125" bestFit="1" customWidth="1"/>
    <col min="14851" max="14851" width="38.28515625" customWidth="1"/>
    <col min="14852" max="14852" width="14.5703125" bestFit="1" customWidth="1"/>
    <col min="14853" max="14853" width="23" bestFit="1" customWidth="1"/>
    <col min="15105" max="15105" width="13.42578125" bestFit="1" customWidth="1"/>
    <col min="15107" max="15107" width="38.28515625" customWidth="1"/>
    <col min="15108" max="15108" width="14.5703125" bestFit="1" customWidth="1"/>
    <col min="15109" max="15109" width="23" bestFit="1" customWidth="1"/>
    <col min="15361" max="15361" width="13.42578125" bestFit="1" customWidth="1"/>
    <col min="15363" max="15363" width="38.28515625" customWidth="1"/>
    <col min="15364" max="15364" width="14.5703125" bestFit="1" customWidth="1"/>
    <col min="15365" max="15365" width="23" bestFit="1" customWidth="1"/>
    <col min="15617" max="15617" width="13.42578125" bestFit="1" customWidth="1"/>
    <col min="15619" max="15619" width="38.28515625" customWidth="1"/>
    <col min="15620" max="15620" width="14.5703125" bestFit="1" customWidth="1"/>
    <col min="15621" max="15621" width="23" bestFit="1" customWidth="1"/>
    <col min="15873" max="15873" width="13.42578125" bestFit="1" customWidth="1"/>
    <col min="15875" max="15875" width="38.28515625" customWidth="1"/>
    <col min="15876" max="15876" width="14.5703125" bestFit="1" customWidth="1"/>
    <col min="15877" max="15877" width="23" bestFit="1" customWidth="1"/>
    <col min="16129" max="16129" width="13.42578125" bestFit="1" customWidth="1"/>
    <col min="16131" max="16131" width="38.28515625" customWidth="1"/>
    <col min="16132" max="16132" width="14.5703125" bestFit="1" customWidth="1"/>
    <col min="16133" max="16133" width="23" bestFit="1" customWidth="1"/>
  </cols>
  <sheetData>
    <row r="1" spans="1:8" ht="90" x14ac:dyDescent="0.25">
      <c r="A1" s="67" t="s">
        <v>172</v>
      </c>
      <c r="B1" s="67" t="s">
        <v>173</v>
      </c>
      <c r="C1" s="68"/>
      <c r="D1" s="67" t="s">
        <v>174</v>
      </c>
      <c r="E1" s="67" t="s">
        <v>175</v>
      </c>
      <c r="F1" s="67" t="s">
        <v>176</v>
      </c>
      <c r="G1" s="1"/>
      <c r="H1" s="1"/>
    </row>
    <row r="2" spans="1:8" x14ac:dyDescent="0.25">
      <c r="A2" s="69"/>
      <c r="B2" s="69"/>
      <c r="C2" s="69"/>
      <c r="D2" s="69"/>
      <c r="E2" s="69"/>
      <c r="F2" s="69"/>
    </row>
    <row r="3" spans="1:8" x14ac:dyDescent="0.25">
      <c r="A3" s="69" t="s">
        <v>177</v>
      </c>
      <c r="B3" s="69">
        <v>400</v>
      </c>
      <c r="C3" s="69"/>
      <c r="D3" s="69">
        <v>46</v>
      </c>
      <c r="E3" s="69">
        <v>1</v>
      </c>
      <c r="F3" s="69">
        <v>0.73</v>
      </c>
      <c r="H3" t="s">
        <v>89</v>
      </c>
    </row>
    <row r="4" spans="1:8" x14ac:dyDescent="0.25">
      <c r="A4" s="69" t="s">
        <v>178</v>
      </c>
      <c r="B4" s="69">
        <v>200</v>
      </c>
      <c r="C4" s="69"/>
      <c r="D4" s="69">
        <v>31</v>
      </c>
      <c r="E4" s="69">
        <v>1</v>
      </c>
      <c r="F4" s="69">
        <v>0.73</v>
      </c>
    </row>
    <row r="5" spans="1:8" x14ac:dyDescent="0.25">
      <c r="A5" s="69" t="s">
        <v>179</v>
      </c>
      <c r="B5" s="69">
        <v>75</v>
      </c>
      <c r="C5" s="69"/>
      <c r="D5" s="69">
        <v>31</v>
      </c>
      <c r="E5" s="69">
        <v>1</v>
      </c>
      <c r="F5" s="69">
        <v>0.73</v>
      </c>
    </row>
    <row r="6" spans="1:8" x14ac:dyDescent="0.25">
      <c r="A6" s="69" t="s">
        <v>180</v>
      </c>
      <c r="B6" s="69">
        <v>150</v>
      </c>
      <c r="C6" s="69"/>
      <c r="D6" s="69">
        <v>31</v>
      </c>
      <c r="E6" s="69">
        <v>1</v>
      </c>
      <c r="F6" s="69">
        <v>0.73</v>
      </c>
    </row>
    <row r="7" spans="1:8" x14ac:dyDescent="0.25">
      <c r="A7" s="69" t="s">
        <v>181</v>
      </c>
      <c r="B7" s="69">
        <v>500</v>
      </c>
      <c r="C7" s="69"/>
      <c r="D7" s="69">
        <v>31</v>
      </c>
      <c r="E7" s="69">
        <v>1</v>
      </c>
      <c r="F7" s="69">
        <v>0.73</v>
      </c>
    </row>
    <row r="8" spans="1:8" x14ac:dyDescent="0.25">
      <c r="A8" s="69"/>
      <c r="B8" s="69"/>
      <c r="C8" s="69"/>
      <c r="D8" s="69"/>
      <c r="E8" s="69"/>
      <c r="F8" s="69"/>
    </row>
    <row r="9" spans="1:8" x14ac:dyDescent="0.25">
      <c r="A9" s="69" t="s">
        <v>114</v>
      </c>
      <c r="B9" s="69">
        <v>45</v>
      </c>
      <c r="C9" s="69"/>
      <c r="D9" s="69">
        <v>5</v>
      </c>
      <c r="E9" s="69">
        <v>0.15</v>
      </c>
      <c r="F9" s="69">
        <v>1.17</v>
      </c>
    </row>
    <row r="10" spans="1:8" x14ac:dyDescent="0.25">
      <c r="A10" s="69" t="s">
        <v>116</v>
      </c>
      <c r="B10" s="69">
        <v>30</v>
      </c>
      <c r="C10" s="69"/>
      <c r="D10" s="69">
        <v>5</v>
      </c>
      <c r="E10" s="69">
        <v>0.17</v>
      </c>
      <c r="F10" s="69">
        <v>1.37</v>
      </c>
    </row>
    <row r="11" spans="1:8" x14ac:dyDescent="0.25">
      <c r="A11" s="69" t="s">
        <v>78</v>
      </c>
      <c r="B11" s="69">
        <v>377</v>
      </c>
      <c r="C11" s="69" t="s">
        <v>182</v>
      </c>
      <c r="D11" s="69">
        <v>18</v>
      </c>
      <c r="E11" s="69">
        <v>1.64</v>
      </c>
      <c r="F11" s="69">
        <v>0.46</v>
      </c>
    </row>
    <row r="12" spans="1:8" x14ac:dyDescent="0.25">
      <c r="A12" s="69" t="s">
        <v>183</v>
      </c>
      <c r="B12" s="69"/>
      <c r="C12" s="69"/>
      <c r="D12" s="69">
        <v>10</v>
      </c>
      <c r="E12" s="69">
        <v>0.9</v>
      </c>
      <c r="F12" s="69">
        <v>0.46</v>
      </c>
    </row>
    <row r="13" spans="1:8" x14ac:dyDescent="0.25">
      <c r="A13" s="69" t="s">
        <v>184</v>
      </c>
      <c r="B13" s="69">
        <v>150</v>
      </c>
      <c r="C13" s="69"/>
      <c r="D13" s="69">
        <v>1</v>
      </c>
      <c r="E13" s="69">
        <v>1</v>
      </c>
      <c r="F13" s="69">
        <v>0.55000000000000004</v>
      </c>
    </row>
    <row r="14" spans="1:8" x14ac:dyDescent="0.25">
      <c r="A14" s="69" t="s">
        <v>185</v>
      </c>
      <c r="B14" s="69">
        <v>90</v>
      </c>
      <c r="C14" s="69"/>
      <c r="D14" s="69">
        <v>1</v>
      </c>
      <c r="E14" s="69">
        <v>1</v>
      </c>
      <c r="F14" s="69">
        <v>1.57</v>
      </c>
    </row>
    <row r="15" spans="1:8" x14ac:dyDescent="0.25">
      <c r="A15" s="69" t="s">
        <v>186</v>
      </c>
      <c r="B15" s="69">
        <v>13</v>
      </c>
      <c r="C15" s="69"/>
      <c r="D15" s="69">
        <v>1</v>
      </c>
      <c r="E15" s="69">
        <v>1</v>
      </c>
      <c r="F15" s="69">
        <v>1.57</v>
      </c>
    </row>
    <row r="16" spans="1:8" x14ac:dyDescent="0.25">
      <c r="A16" s="69" t="s">
        <v>187</v>
      </c>
      <c r="B16" s="69">
        <v>125</v>
      </c>
      <c r="C16" s="69"/>
      <c r="D16" s="69">
        <v>1</v>
      </c>
      <c r="E16" s="69">
        <v>1</v>
      </c>
      <c r="F16" s="69">
        <v>0.55000000000000004</v>
      </c>
    </row>
    <row r="17" spans="1:6" x14ac:dyDescent="0.25">
      <c r="A17" s="69"/>
      <c r="B17" s="69"/>
      <c r="C17" s="69"/>
      <c r="D17" s="69"/>
      <c r="E17" s="69"/>
      <c r="F17" s="69"/>
    </row>
    <row r="18" spans="1:6" x14ac:dyDescent="0.25">
      <c r="A18" s="69" t="s">
        <v>188</v>
      </c>
      <c r="B18" s="69">
        <v>1.8</v>
      </c>
      <c r="C18" s="69"/>
      <c r="D18" s="69"/>
      <c r="E18" s="69">
        <v>0.02</v>
      </c>
      <c r="F18" s="69">
        <v>1.1000000000000001</v>
      </c>
    </row>
    <row r="19" spans="1:6" x14ac:dyDescent="0.25">
      <c r="A19" s="69" t="s">
        <v>189</v>
      </c>
      <c r="B19" s="69">
        <v>2.1</v>
      </c>
      <c r="C19" s="69"/>
      <c r="D19" s="69"/>
      <c r="E19" s="69">
        <v>0.03</v>
      </c>
      <c r="F19" s="69">
        <v>0.82</v>
      </c>
    </row>
    <row r="20" spans="1:6" x14ac:dyDescent="0.25">
      <c r="A20" s="69" t="s">
        <v>190</v>
      </c>
      <c r="B20" s="69">
        <v>1.8</v>
      </c>
      <c r="C20" s="69"/>
      <c r="D20" s="69"/>
      <c r="E20" s="69">
        <v>0.03</v>
      </c>
      <c r="F20" s="69">
        <v>0.82</v>
      </c>
    </row>
    <row r="21" spans="1:6" x14ac:dyDescent="0.25">
      <c r="A21" s="69" t="s">
        <v>90</v>
      </c>
      <c r="B21" s="69">
        <v>2.5</v>
      </c>
      <c r="C21" s="69"/>
      <c r="D21" s="69"/>
      <c r="E21" s="69">
        <v>0.03</v>
      </c>
      <c r="F21" s="69">
        <v>0.83</v>
      </c>
    </row>
    <row r="22" spans="1:6" x14ac:dyDescent="0.25">
      <c r="A22" s="69"/>
      <c r="B22" s="69"/>
      <c r="C22" s="69"/>
      <c r="D22" s="69"/>
      <c r="E22" s="69"/>
      <c r="F22" s="69"/>
    </row>
    <row r="23" spans="1:6" x14ac:dyDescent="0.25">
      <c r="A23" s="69" t="s">
        <v>75</v>
      </c>
      <c r="B23" s="69">
        <v>60</v>
      </c>
      <c r="C23" s="69"/>
      <c r="D23" s="69">
        <v>20</v>
      </c>
      <c r="E23" s="69">
        <v>0.22</v>
      </c>
      <c r="F23" s="69">
        <v>1.17</v>
      </c>
    </row>
    <row r="24" spans="1:6" x14ac:dyDescent="0.25">
      <c r="A24" s="49"/>
      <c r="B24" s="49"/>
      <c r="C24" s="49"/>
      <c r="D24" s="49" t="s">
        <v>191</v>
      </c>
      <c r="E24" s="49"/>
      <c r="F24" s="4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topLeftCell="A16" workbookViewId="0">
      <selection activeCell="H32" sqref="H32"/>
    </sheetView>
  </sheetViews>
  <sheetFormatPr defaultRowHeight="15" x14ac:dyDescent="0.25"/>
  <cols>
    <col min="1" max="1" width="17.42578125" bestFit="1" customWidth="1"/>
    <col min="2" max="2" width="13.42578125" bestFit="1" customWidth="1"/>
    <col min="3" max="3" width="12.42578125" bestFit="1" customWidth="1"/>
    <col min="4" max="4" width="21.42578125" bestFit="1" customWidth="1"/>
    <col min="6" max="6" width="16.85546875" bestFit="1" customWidth="1"/>
    <col min="7" max="7" width="17.5703125" bestFit="1" customWidth="1"/>
    <col min="8" max="8" width="16.85546875" bestFit="1" customWidth="1"/>
    <col min="9" max="9" width="20.42578125" bestFit="1" customWidth="1"/>
    <col min="257" max="257" width="17.42578125" bestFit="1" customWidth="1"/>
    <col min="258" max="258" width="13.42578125" bestFit="1" customWidth="1"/>
    <col min="259" max="259" width="12.42578125" bestFit="1" customWidth="1"/>
    <col min="260" max="260" width="21.42578125" bestFit="1" customWidth="1"/>
    <col min="262" max="262" width="16.85546875" bestFit="1" customWidth="1"/>
    <col min="263" max="263" width="17.5703125" bestFit="1" customWidth="1"/>
    <col min="264" max="264" width="16.85546875" bestFit="1" customWidth="1"/>
    <col min="265" max="265" width="20.42578125" bestFit="1" customWidth="1"/>
    <col min="513" max="513" width="17.42578125" bestFit="1" customWidth="1"/>
    <col min="514" max="514" width="13.42578125" bestFit="1" customWidth="1"/>
    <col min="515" max="515" width="12.42578125" bestFit="1" customWidth="1"/>
    <col min="516" max="516" width="21.42578125" bestFit="1" customWidth="1"/>
    <col min="518" max="518" width="16.85546875" bestFit="1" customWidth="1"/>
    <col min="519" max="519" width="17.5703125" bestFit="1" customWidth="1"/>
    <col min="520" max="520" width="16.85546875" bestFit="1" customWidth="1"/>
    <col min="521" max="521" width="20.42578125" bestFit="1" customWidth="1"/>
    <col min="769" max="769" width="17.42578125" bestFit="1" customWidth="1"/>
    <col min="770" max="770" width="13.42578125" bestFit="1" customWidth="1"/>
    <col min="771" max="771" width="12.42578125" bestFit="1" customWidth="1"/>
    <col min="772" max="772" width="21.42578125" bestFit="1" customWidth="1"/>
    <col min="774" max="774" width="16.85546875" bestFit="1" customWidth="1"/>
    <col min="775" max="775" width="17.5703125" bestFit="1" customWidth="1"/>
    <col min="776" max="776" width="16.85546875" bestFit="1" customWidth="1"/>
    <col min="777" max="777" width="20.42578125" bestFit="1" customWidth="1"/>
    <col min="1025" max="1025" width="17.42578125" bestFit="1" customWidth="1"/>
    <col min="1026" max="1026" width="13.42578125" bestFit="1" customWidth="1"/>
    <col min="1027" max="1027" width="12.42578125" bestFit="1" customWidth="1"/>
    <col min="1028" max="1028" width="21.42578125" bestFit="1" customWidth="1"/>
    <col min="1030" max="1030" width="16.85546875" bestFit="1" customWidth="1"/>
    <col min="1031" max="1031" width="17.5703125" bestFit="1" customWidth="1"/>
    <col min="1032" max="1032" width="16.85546875" bestFit="1" customWidth="1"/>
    <col min="1033" max="1033" width="20.42578125" bestFit="1" customWidth="1"/>
    <col min="1281" max="1281" width="17.42578125" bestFit="1" customWidth="1"/>
    <col min="1282" max="1282" width="13.42578125" bestFit="1" customWidth="1"/>
    <col min="1283" max="1283" width="12.42578125" bestFit="1" customWidth="1"/>
    <col min="1284" max="1284" width="21.42578125" bestFit="1" customWidth="1"/>
    <col min="1286" max="1286" width="16.85546875" bestFit="1" customWidth="1"/>
    <col min="1287" max="1287" width="17.5703125" bestFit="1" customWidth="1"/>
    <col min="1288" max="1288" width="16.85546875" bestFit="1" customWidth="1"/>
    <col min="1289" max="1289" width="20.42578125" bestFit="1" customWidth="1"/>
    <col min="1537" max="1537" width="17.42578125" bestFit="1" customWidth="1"/>
    <col min="1538" max="1538" width="13.42578125" bestFit="1" customWidth="1"/>
    <col min="1539" max="1539" width="12.42578125" bestFit="1" customWidth="1"/>
    <col min="1540" max="1540" width="21.42578125" bestFit="1" customWidth="1"/>
    <col min="1542" max="1542" width="16.85546875" bestFit="1" customWidth="1"/>
    <col min="1543" max="1543" width="17.5703125" bestFit="1" customWidth="1"/>
    <col min="1544" max="1544" width="16.85546875" bestFit="1" customWidth="1"/>
    <col min="1545" max="1545" width="20.42578125" bestFit="1" customWidth="1"/>
    <col min="1793" max="1793" width="17.42578125" bestFit="1" customWidth="1"/>
    <col min="1794" max="1794" width="13.42578125" bestFit="1" customWidth="1"/>
    <col min="1795" max="1795" width="12.42578125" bestFit="1" customWidth="1"/>
    <col min="1796" max="1796" width="21.42578125" bestFit="1" customWidth="1"/>
    <col min="1798" max="1798" width="16.85546875" bestFit="1" customWidth="1"/>
    <col min="1799" max="1799" width="17.5703125" bestFit="1" customWidth="1"/>
    <col min="1800" max="1800" width="16.85546875" bestFit="1" customWidth="1"/>
    <col min="1801" max="1801" width="20.42578125" bestFit="1" customWidth="1"/>
    <col min="2049" max="2049" width="17.42578125" bestFit="1" customWidth="1"/>
    <col min="2050" max="2050" width="13.42578125" bestFit="1" customWidth="1"/>
    <col min="2051" max="2051" width="12.42578125" bestFit="1" customWidth="1"/>
    <col min="2052" max="2052" width="21.42578125" bestFit="1" customWidth="1"/>
    <col min="2054" max="2054" width="16.85546875" bestFit="1" customWidth="1"/>
    <col min="2055" max="2055" width="17.5703125" bestFit="1" customWidth="1"/>
    <col min="2056" max="2056" width="16.85546875" bestFit="1" customWidth="1"/>
    <col min="2057" max="2057" width="20.42578125" bestFit="1" customWidth="1"/>
    <col min="2305" max="2305" width="17.42578125" bestFit="1" customWidth="1"/>
    <col min="2306" max="2306" width="13.42578125" bestFit="1" customWidth="1"/>
    <col min="2307" max="2307" width="12.42578125" bestFit="1" customWidth="1"/>
    <col min="2308" max="2308" width="21.42578125" bestFit="1" customWidth="1"/>
    <col min="2310" max="2310" width="16.85546875" bestFit="1" customWidth="1"/>
    <col min="2311" max="2311" width="17.5703125" bestFit="1" customWidth="1"/>
    <col min="2312" max="2312" width="16.85546875" bestFit="1" customWidth="1"/>
    <col min="2313" max="2313" width="20.42578125" bestFit="1" customWidth="1"/>
    <col min="2561" max="2561" width="17.42578125" bestFit="1" customWidth="1"/>
    <col min="2562" max="2562" width="13.42578125" bestFit="1" customWidth="1"/>
    <col min="2563" max="2563" width="12.42578125" bestFit="1" customWidth="1"/>
    <col min="2564" max="2564" width="21.42578125" bestFit="1" customWidth="1"/>
    <col min="2566" max="2566" width="16.85546875" bestFit="1" customWidth="1"/>
    <col min="2567" max="2567" width="17.5703125" bestFit="1" customWidth="1"/>
    <col min="2568" max="2568" width="16.85546875" bestFit="1" customWidth="1"/>
    <col min="2569" max="2569" width="20.42578125" bestFit="1" customWidth="1"/>
    <col min="2817" max="2817" width="17.42578125" bestFit="1" customWidth="1"/>
    <col min="2818" max="2818" width="13.42578125" bestFit="1" customWidth="1"/>
    <col min="2819" max="2819" width="12.42578125" bestFit="1" customWidth="1"/>
    <col min="2820" max="2820" width="21.42578125" bestFit="1" customWidth="1"/>
    <col min="2822" max="2822" width="16.85546875" bestFit="1" customWidth="1"/>
    <col min="2823" max="2823" width="17.5703125" bestFit="1" customWidth="1"/>
    <col min="2824" max="2824" width="16.85546875" bestFit="1" customWidth="1"/>
    <col min="2825" max="2825" width="20.42578125" bestFit="1" customWidth="1"/>
    <col min="3073" max="3073" width="17.42578125" bestFit="1" customWidth="1"/>
    <col min="3074" max="3074" width="13.42578125" bestFit="1" customWidth="1"/>
    <col min="3075" max="3075" width="12.42578125" bestFit="1" customWidth="1"/>
    <col min="3076" max="3076" width="21.42578125" bestFit="1" customWidth="1"/>
    <col min="3078" max="3078" width="16.85546875" bestFit="1" customWidth="1"/>
    <col min="3079" max="3079" width="17.5703125" bestFit="1" customWidth="1"/>
    <col min="3080" max="3080" width="16.85546875" bestFit="1" customWidth="1"/>
    <col min="3081" max="3081" width="20.42578125" bestFit="1" customWidth="1"/>
    <col min="3329" max="3329" width="17.42578125" bestFit="1" customWidth="1"/>
    <col min="3330" max="3330" width="13.42578125" bestFit="1" customWidth="1"/>
    <col min="3331" max="3331" width="12.42578125" bestFit="1" customWidth="1"/>
    <col min="3332" max="3332" width="21.42578125" bestFit="1" customWidth="1"/>
    <col min="3334" max="3334" width="16.85546875" bestFit="1" customWidth="1"/>
    <col min="3335" max="3335" width="17.5703125" bestFit="1" customWidth="1"/>
    <col min="3336" max="3336" width="16.85546875" bestFit="1" customWidth="1"/>
    <col min="3337" max="3337" width="20.42578125" bestFit="1" customWidth="1"/>
    <col min="3585" max="3585" width="17.42578125" bestFit="1" customWidth="1"/>
    <col min="3586" max="3586" width="13.42578125" bestFit="1" customWidth="1"/>
    <col min="3587" max="3587" width="12.42578125" bestFit="1" customWidth="1"/>
    <col min="3588" max="3588" width="21.42578125" bestFit="1" customWidth="1"/>
    <col min="3590" max="3590" width="16.85546875" bestFit="1" customWidth="1"/>
    <col min="3591" max="3591" width="17.5703125" bestFit="1" customWidth="1"/>
    <col min="3592" max="3592" width="16.85546875" bestFit="1" customWidth="1"/>
    <col min="3593" max="3593" width="20.42578125" bestFit="1" customWidth="1"/>
    <col min="3841" max="3841" width="17.42578125" bestFit="1" customWidth="1"/>
    <col min="3842" max="3842" width="13.42578125" bestFit="1" customWidth="1"/>
    <col min="3843" max="3843" width="12.42578125" bestFit="1" customWidth="1"/>
    <col min="3844" max="3844" width="21.42578125" bestFit="1" customWidth="1"/>
    <col min="3846" max="3846" width="16.85546875" bestFit="1" customWidth="1"/>
    <col min="3847" max="3847" width="17.5703125" bestFit="1" customWidth="1"/>
    <col min="3848" max="3848" width="16.85546875" bestFit="1" customWidth="1"/>
    <col min="3849" max="3849" width="20.42578125" bestFit="1" customWidth="1"/>
    <col min="4097" max="4097" width="17.42578125" bestFit="1" customWidth="1"/>
    <col min="4098" max="4098" width="13.42578125" bestFit="1" customWidth="1"/>
    <col min="4099" max="4099" width="12.42578125" bestFit="1" customWidth="1"/>
    <col min="4100" max="4100" width="21.42578125" bestFit="1" customWidth="1"/>
    <col min="4102" max="4102" width="16.85546875" bestFit="1" customWidth="1"/>
    <col min="4103" max="4103" width="17.5703125" bestFit="1" customWidth="1"/>
    <col min="4104" max="4104" width="16.85546875" bestFit="1" customWidth="1"/>
    <col min="4105" max="4105" width="20.42578125" bestFit="1" customWidth="1"/>
    <col min="4353" max="4353" width="17.42578125" bestFit="1" customWidth="1"/>
    <col min="4354" max="4354" width="13.42578125" bestFit="1" customWidth="1"/>
    <col min="4355" max="4355" width="12.42578125" bestFit="1" customWidth="1"/>
    <col min="4356" max="4356" width="21.42578125" bestFit="1" customWidth="1"/>
    <col min="4358" max="4358" width="16.85546875" bestFit="1" customWidth="1"/>
    <col min="4359" max="4359" width="17.5703125" bestFit="1" customWidth="1"/>
    <col min="4360" max="4360" width="16.85546875" bestFit="1" customWidth="1"/>
    <col min="4361" max="4361" width="20.42578125" bestFit="1" customWidth="1"/>
    <col min="4609" max="4609" width="17.42578125" bestFit="1" customWidth="1"/>
    <col min="4610" max="4610" width="13.42578125" bestFit="1" customWidth="1"/>
    <col min="4611" max="4611" width="12.42578125" bestFit="1" customWidth="1"/>
    <col min="4612" max="4612" width="21.42578125" bestFit="1" customWidth="1"/>
    <col min="4614" max="4614" width="16.85546875" bestFit="1" customWidth="1"/>
    <col min="4615" max="4615" width="17.5703125" bestFit="1" customWidth="1"/>
    <col min="4616" max="4616" width="16.85546875" bestFit="1" customWidth="1"/>
    <col min="4617" max="4617" width="20.42578125" bestFit="1" customWidth="1"/>
    <col min="4865" max="4865" width="17.42578125" bestFit="1" customWidth="1"/>
    <col min="4866" max="4866" width="13.42578125" bestFit="1" customWidth="1"/>
    <col min="4867" max="4867" width="12.42578125" bestFit="1" customWidth="1"/>
    <col min="4868" max="4868" width="21.42578125" bestFit="1" customWidth="1"/>
    <col min="4870" max="4870" width="16.85546875" bestFit="1" customWidth="1"/>
    <col min="4871" max="4871" width="17.5703125" bestFit="1" customWidth="1"/>
    <col min="4872" max="4872" width="16.85546875" bestFit="1" customWidth="1"/>
    <col min="4873" max="4873" width="20.42578125" bestFit="1" customWidth="1"/>
    <col min="5121" max="5121" width="17.42578125" bestFit="1" customWidth="1"/>
    <col min="5122" max="5122" width="13.42578125" bestFit="1" customWidth="1"/>
    <col min="5123" max="5123" width="12.42578125" bestFit="1" customWidth="1"/>
    <col min="5124" max="5124" width="21.42578125" bestFit="1" customWidth="1"/>
    <col min="5126" max="5126" width="16.85546875" bestFit="1" customWidth="1"/>
    <col min="5127" max="5127" width="17.5703125" bestFit="1" customWidth="1"/>
    <col min="5128" max="5128" width="16.85546875" bestFit="1" customWidth="1"/>
    <col min="5129" max="5129" width="20.42578125" bestFit="1" customWidth="1"/>
    <col min="5377" max="5377" width="17.42578125" bestFit="1" customWidth="1"/>
    <col min="5378" max="5378" width="13.42578125" bestFit="1" customWidth="1"/>
    <col min="5379" max="5379" width="12.42578125" bestFit="1" customWidth="1"/>
    <col min="5380" max="5380" width="21.42578125" bestFit="1" customWidth="1"/>
    <col min="5382" max="5382" width="16.85546875" bestFit="1" customWidth="1"/>
    <col min="5383" max="5383" width="17.5703125" bestFit="1" customWidth="1"/>
    <col min="5384" max="5384" width="16.85546875" bestFit="1" customWidth="1"/>
    <col min="5385" max="5385" width="20.42578125" bestFit="1" customWidth="1"/>
    <col min="5633" max="5633" width="17.42578125" bestFit="1" customWidth="1"/>
    <col min="5634" max="5634" width="13.42578125" bestFit="1" customWidth="1"/>
    <col min="5635" max="5635" width="12.42578125" bestFit="1" customWidth="1"/>
    <col min="5636" max="5636" width="21.42578125" bestFit="1" customWidth="1"/>
    <col min="5638" max="5638" width="16.85546875" bestFit="1" customWidth="1"/>
    <col min="5639" max="5639" width="17.5703125" bestFit="1" customWidth="1"/>
    <col min="5640" max="5640" width="16.85546875" bestFit="1" customWidth="1"/>
    <col min="5641" max="5641" width="20.42578125" bestFit="1" customWidth="1"/>
    <col min="5889" max="5889" width="17.42578125" bestFit="1" customWidth="1"/>
    <col min="5890" max="5890" width="13.42578125" bestFit="1" customWidth="1"/>
    <col min="5891" max="5891" width="12.42578125" bestFit="1" customWidth="1"/>
    <col min="5892" max="5892" width="21.42578125" bestFit="1" customWidth="1"/>
    <col min="5894" max="5894" width="16.85546875" bestFit="1" customWidth="1"/>
    <col min="5895" max="5895" width="17.5703125" bestFit="1" customWidth="1"/>
    <col min="5896" max="5896" width="16.85546875" bestFit="1" customWidth="1"/>
    <col min="5897" max="5897" width="20.42578125" bestFit="1" customWidth="1"/>
    <col min="6145" max="6145" width="17.42578125" bestFit="1" customWidth="1"/>
    <col min="6146" max="6146" width="13.42578125" bestFit="1" customWidth="1"/>
    <col min="6147" max="6147" width="12.42578125" bestFit="1" customWidth="1"/>
    <col min="6148" max="6148" width="21.42578125" bestFit="1" customWidth="1"/>
    <col min="6150" max="6150" width="16.85546875" bestFit="1" customWidth="1"/>
    <col min="6151" max="6151" width="17.5703125" bestFit="1" customWidth="1"/>
    <col min="6152" max="6152" width="16.85546875" bestFit="1" customWidth="1"/>
    <col min="6153" max="6153" width="20.42578125" bestFit="1" customWidth="1"/>
    <col min="6401" max="6401" width="17.42578125" bestFit="1" customWidth="1"/>
    <col min="6402" max="6402" width="13.42578125" bestFit="1" customWidth="1"/>
    <col min="6403" max="6403" width="12.42578125" bestFit="1" customWidth="1"/>
    <col min="6404" max="6404" width="21.42578125" bestFit="1" customWidth="1"/>
    <col min="6406" max="6406" width="16.85546875" bestFit="1" customWidth="1"/>
    <col min="6407" max="6407" width="17.5703125" bestFit="1" customWidth="1"/>
    <col min="6408" max="6408" width="16.85546875" bestFit="1" customWidth="1"/>
    <col min="6409" max="6409" width="20.42578125" bestFit="1" customWidth="1"/>
    <col min="6657" max="6657" width="17.42578125" bestFit="1" customWidth="1"/>
    <col min="6658" max="6658" width="13.42578125" bestFit="1" customWidth="1"/>
    <col min="6659" max="6659" width="12.42578125" bestFit="1" customWidth="1"/>
    <col min="6660" max="6660" width="21.42578125" bestFit="1" customWidth="1"/>
    <col min="6662" max="6662" width="16.85546875" bestFit="1" customWidth="1"/>
    <col min="6663" max="6663" width="17.5703125" bestFit="1" customWidth="1"/>
    <col min="6664" max="6664" width="16.85546875" bestFit="1" customWidth="1"/>
    <col min="6665" max="6665" width="20.42578125" bestFit="1" customWidth="1"/>
    <col min="6913" max="6913" width="17.42578125" bestFit="1" customWidth="1"/>
    <col min="6914" max="6914" width="13.42578125" bestFit="1" customWidth="1"/>
    <col min="6915" max="6915" width="12.42578125" bestFit="1" customWidth="1"/>
    <col min="6916" max="6916" width="21.42578125" bestFit="1" customWidth="1"/>
    <col min="6918" max="6918" width="16.85546875" bestFit="1" customWidth="1"/>
    <col min="6919" max="6919" width="17.5703125" bestFit="1" customWidth="1"/>
    <col min="6920" max="6920" width="16.85546875" bestFit="1" customWidth="1"/>
    <col min="6921" max="6921" width="20.42578125" bestFit="1" customWidth="1"/>
    <col min="7169" max="7169" width="17.42578125" bestFit="1" customWidth="1"/>
    <col min="7170" max="7170" width="13.42578125" bestFit="1" customWidth="1"/>
    <col min="7171" max="7171" width="12.42578125" bestFit="1" customWidth="1"/>
    <col min="7172" max="7172" width="21.42578125" bestFit="1" customWidth="1"/>
    <col min="7174" max="7174" width="16.85546875" bestFit="1" customWidth="1"/>
    <col min="7175" max="7175" width="17.5703125" bestFit="1" customWidth="1"/>
    <col min="7176" max="7176" width="16.85546875" bestFit="1" customWidth="1"/>
    <col min="7177" max="7177" width="20.42578125" bestFit="1" customWidth="1"/>
    <col min="7425" max="7425" width="17.42578125" bestFit="1" customWidth="1"/>
    <col min="7426" max="7426" width="13.42578125" bestFit="1" customWidth="1"/>
    <col min="7427" max="7427" width="12.42578125" bestFit="1" customWidth="1"/>
    <col min="7428" max="7428" width="21.42578125" bestFit="1" customWidth="1"/>
    <col min="7430" max="7430" width="16.85546875" bestFit="1" customWidth="1"/>
    <col min="7431" max="7431" width="17.5703125" bestFit="1" customWidth="1"/>
    <col min="7432" max="7432" width="16.85546875" bestFit="1" customWidth="1"/>
    <col min="7433" max="7433" width="20.42578125" bestFit="1" customWidth="1"/>
    <col min="7681" max="7681" width="17.42578125" bestFit="1" customWidth="1"/>
    <col min="7682" max="7682" width="13.42578125" bestFit="1" customWidth="1"/>
    <col min="7683" max="7683" width="12.42578125" bestFit="1" customWidth="1"/>
    <col min="7684" max="7684" width="21.42578125" bestFit="1" customWidth="1"/>
    <col min="7686" max="7686" width="16.85546875" bestFit="1" customWidth="1"/>
    <col min="7687" max="7687" width="17.5703125" bestFit="1" customWidth="1"/>
    <col min="7688" max="7688" width="16.85546875" bestFit="1" customWidth="1"/>
    <col min="7689" max="7689" width="20.42578125" bestFit="1" customWidth="1"/>
    <col min="7937" max="7937" width="17.42578125" bestFit="1" customWidth="1"/>
    <col min="7938" max="7938" width="13.42578125" bestFit="1" customWidth="1"/>
    <col min="7939" max="7939" width="12.42578125" bestFit="1" customWidth="1"/>
    <col min="7940" max="7940" width="21.42578125" bestFit="1" customWidth="1"/>
    <col min="7942" max="7942" width="16.85546875" bestFit="1" customWidth="1"/>
    <col min="7943" max="7943" width="17.5703125" bestFit="1" customWidth="1"/>
    <col min="7944" max="7944" width="16.85546875" bestFit="1" customWidth="1"/>
    <col min="7945" max="7945" width="20.42578125" bestFit="1" customWidth="1"/>
    <col min="8193" max="8193" width="17.42578125" bestFit="1" customWidth="1"/>
    <col min="8194" max="8194" width="13.42578125" bestFit="1" customWidth="1"/>
    <col min="8195" max="8195" width="12.42578125" bestFit="1" customWidth="1"/>
    <col min="8196" max="8196" width="21.42578125" bestFit="1" customWidth="1"/>
    <col min="8198" max="8198" width="16.85546875" bestFit="1" customWidth="1"/>
    <col min="8199" max="8199" width="17.5703125" bestFit="1" customWidth="1"/>
    <col min="8200" max="8200" width="16.85546875" bestFit="1" customWidth="1"/>
    <col min="8201" max="8201" width="20.42578125" bestFit="1" customWidth="1"/>
    <col min="8449" max="8449" width="17.42578125" bestFit="1" customWidth="1"/>
    <col min="8450" max="8450" width="13.42578125" bestFit="1" customWidth="1"/>
    <col min="8451" max="8451" width="12.42578125" bestFit="1" customWidth="1"/>
    <col min="8452" max="8452" width="21.42578125" bestFit="1" customWidth="1"/>
    <col min="8454" max="8454" width="16.85546875" bestFit="1" customWidth="1"/>
    <col min="8455" max="8455" width="17.5703125" bestFit="1" customWidth="1"/>
    <col min="8456" max="8456" width="16.85546875" bestFit="1" customWidth="1"/>
    <col min="8457" max="8457" width="20.42578125" bestFit="1" customWidth="1"/>
    <col min="8705" max="8705" width="17.42578125" bestFit="1" customWidth="1"/>
    <col min="8706" max="8706" width="13.42578125" bestFit="1" customWidth="1"/>
    <col min="8707" max="8707" width="12.42578125" bestFit="1" customWidth="1"/>
    <col min="8708" max="8708" width="21.42578125" bestFit="1" customWidth="1"/>
    <col min="8710" max="8710" width="16.85546875" bestFit="1" customWidth="1"/>
    <col min="8711" max="8711" width="17.5703125" bestFit="1" customWidth="1"/>
    <col min="8712" max="8712" width="16.85546875" bestFit="1" customWidth="1"/>
    <col min="8713" max="8713" width="20.42578125" bestFit="1" customWidth="1"/>
    <col min="8961" max="8961" width="17.42578125" bestFit="1" customWidth="1"/>
    <col min="8962" max="8962" width="13.42578125" bestFit="1" customWidth="1"/>
    <col min="8963" max="8963" width="12.42578125" bestFit="1" customWidth="1"/>
    <col min="8964" max="8964" width="21.42578125" bestFit="1" customWidth="1"/>
    <col min="8966" max="8966" width="16.85546875" bestFit="1" customWidth="1"/>
    <col min="8967" max="8967" width="17.5703125" bestFit="1" customWidth="1"/>
    <col min="8968" max="8968" width="16.85546875" bestFit="1" customWidth="1"/>
    <col min="8969" max="8969" width="20.42578125" bestFit="1" customWidth="1"/>
    <col min="9217" max="9217" width="17.42578125" bestFit="1" customWidth="1"/>
    <col min="9218" max="9218" width="13.42578125" bestFit="1" customWidth="1"/>
    <col min="9219" max="9219" width="12.42578125" bestFit="1" customWidth="1"/>
    <col min="9220" max="9220" width="21.42578125" bestFit="1" customWidth="1"/>
    <col min="9222" max="9222" width="16.85546875" bestFit="1" customWidth="1"/>
    <col min="9223" max="9223" width="17.5703125" bestFit="1" customWidth="1"/>
    <col min="9224" max="9224" width="16.85546875" bestFit="1" customWidth="1"/>
    <col min="9225" max="9225" width="20.42578125" bestFit="1" customWidth="1"/>
    <col min="9473" max="9473" width="17.42578125" bestFit="1" customWidth="1"/>
    <col min="9474" max="9474" width="13.42578125" bestFit="1" customWidth="1"/>
    <col min="9475" max="9475" width="12.42578125" bestFit="1" customWidth="1"/>
    <col min="9476" max="9476" width="21.42578125" bestFit="1" customWidth="1"/>
    <col min="9478" max="9478" width="16.85546875" bestFit="1" customWidth="1"/>
    <col min="9479" max="9479" width="17.5703125" bestFit="1" customWidth="1"/>
    <col min="9480" max="9480" width="16.85546875" bestFit="1" customWidth="1"/>
    <col min="9481" max="9481" width="20.42578125" bestFit="1" customWidth="1"/>
    <col min="9729" max="9729" width="17.42578125" bestFit="1" customWidth="1"/>
    <col min="9730" max="9730" width="13.42578125" bestFit="1" customWidth="1"/>
    <col min="9731" max="9731" width="12.42578125" bestFit="1" customWidth="1"/>
    <col min="9732" max="9732" width="21.42578125" bestFit="1" customWidth="1"/>
    <col min="9734" max="9734" width="16.85546875" bestFit="1" customWidth="1"/>
    <col min="9735" max="9735" width="17.5703125" bestFit="1" customWidth="1"/>
    <col min="9736" max="9736" width="16.85546875" bestFit="1" customWidth="1"/>
    <col min="9737" max="9737" width="20.42578125" bestFit="1" customWidth="1"/>
    <col min="9985" max="9985" width="17.42578125" bestFit="1" customWidth="1"/>
    <col min="9986" max="9986" width="13.42578125" bestFit="1" customWidth="1"/>
    <col min="9987" max="9987" width="12.42578125" bestFit="1" customWidth="1"/>
    <col min="9988" max="9988" width="21.42578125" bestFit="1" customWidth="1"/>
    <col min="9990" max="9990" width="16.85546875" bestFit="1" customWidth="1"/>
    <col min="9991" max="9991" width="17.5703125" bestFit="1" customWidth="1"/>
    <col min="9992" max="9992" width="16.85546875" bestFit="1" customWidth="1"/>
    <col min="9993" max="9993" width="20.42578125" bestFit="1" customWidth="1"/>
    <col min="10241" max="10241" width="17.42578125" bestFit="1" customWidth="1"/>
    <col min="10242" max="10242" width="13.42578125" bestFit="1" customWidth="1"/>
    <col min="10243" max="10243" width="12.42578125" bestFit="1" customWidth="1"/>
    <col min="10244" max="10244" width="21.42578125" bestFit="1" customWidth="1"/>
    <col min="10246" max="10246" width="16.85546875" bestFit="1" customWidth="1"/>
    <col min="10247" max="10247" width="17.5703125" bestFit="1" customWidth="1"/>
    <col min="10248" max="10248" width="16.85546875" bestFit="1" customWidth="1"/>
    <col min="10249" max="10249" width="20.42578125" bestFit="1" customWidth="1"/>
    <col min="10497" max="10497" width="17.42578125" bestFit="1" customWidth="1"/>
    <col min="10498" max="10498" width="13.42578125" bestFit="1" customWidth="1"/>
    <col min="10499" max="10499" width="12.42578125" bestFit="1" customWidth="1"/>
    <col min="10500" max="10500" width="21.42578125" bestFit="1" customWidth="1"/>
    <col min="10502" max="10502" width="16.85546875" bestFit="1" customWidth="1"/>
    <col min="10503" max="10503" width="17.5703125" bestFit="1" customWidth="1"/>
    <col min="10504" max="10504" width="16.85546875" bestFit="1" customWidth="1"/>
    <col min="10505" max="10505" width="20.42578125" bestFit="1" customWidth="1"/>
    <col min="10753" max="10753" width="17.42578125" bestFit="1" customWidth="1"/>
    <col min="10754" max="10754" width="13.42578125" bestFit="1" customWidth="1"/>
    <col min="10755" max="10755" width="12.42578125" bestFit="1" customWidth="1"/>
    <col min="10756" max="10756" width="21.42578125" bestFit="1" customWidth="1"/>
    <col min="10758" max="10758" width="16.85546875" bestFit="1" customWidth="1"/>
    <col min="10759" max="10759" width="17.5703125" bestFit="1" customWidth="1"/>
    <col min="10760" max="10760" width="16.85546875" bestFit="1" customWidth="1"/>
    <col min="10761" max="10761" width="20.42578125" bestFit="1" customWidth="1"/>
    <col min="11009" max="11009" width="17.42578125" bestFit="1" customWidth="1"/>
    <col min="11010" max="11010" width="13.42578125" bestFit="1" customWidth="1"/>
    <col min="11011" max="11011" width="12.42578125" bestFit="1" customWidth="1"/>
    <col min="11012" max="11012" width="21.42578125" bestFit="1" customWidth="1"/>
    <col min="11014" max="11014" width="16.85546875" bestFit="1" customWidth="1"/>
    <col min="11015" max="11015" width="17.5703125" bestFit="1" customWidth="1"/>
    <col min="11016" max="11016" width="16.85546875" bestFit="1" customWidth="1"/>
    <col min="11017" max="11017" width="20.42578125" bestFit="1" customWidth="1"/>
    <col min="11265" max="11265" width="17.42578125" bestFit="1" customWidth="1"/>
    <col min="11266" max="11266" width="13.42578125" bestFit="1" customWidth="1"/>
    <col min="11267" max="11267" width="12.42578125" bestFit="1" customWidth="1"/>
    <col min="11268" max="11268" width="21.42578125" bestFit="1" customWidth="1"/>
    <col min="11270" max="11270" width="16.85546875" bestFit="1" customWidth="1"/>
    <col min="11271" max="11271" width="17.5703125" bestFit="1" customWidth="1"/>
    <col min="11272" max="11272" width="16.85546875" bestFit="1" customWidth="1"/>
    <col min="11273" max="11273" width="20.42578125" bestFit="1" customWidth="1"/>
    <col min="11521" max="11521" width="17.42578125" bestFit="1" customWidth="1"/>
    <col min="11522" max="11522" width="13.42578125" bestFit="1" customWidth="1"/>
    <col min="11523" max="11523" width="12.42578125" bestFit="1" customWidth="1"/>
    <col min="11524" max="11524" width="21.42578125" bestFit="1" customWidth="1"/>
    <col min="11526" max="11526" width="16.85546875" bestFit="1" customWidth="1"/>
    <col min="11527" max="11527" width="17.5703125" bestFit="1" customWidth="1"/>
    <col min="11528" max="11528" width="16.85546875" bestFit="1" customWidth="1"/>
    <col min="11529" max="11529" width="20.42578125" bestFit="1" customWidth="1"/>
    <col min="11777" max="11777" width="17.42578125" bestFit="1" customWidth="1"/>
    <col min="11778" max="11778" width="13.42578125" bestFit="1" customWidth="1"/>
    <col min="11779" max="11779" width="12.42578125" bestFit="1" customWidth="1"/>
    <col min="11780" max="11780" width="21.42578125" bestFit="1" customWidth="1"/>
    <col min="11782" max="11782" width="16.85546875" bestFit="1" customWidth="1"/>
    <col min="11783" max="11783" width="17.5703125" bestFit="1" customWidth="1"/>
    <col min="11784" max="11784" width="16.85546875" bestFit="1" customWidth="1"/>
    <col min="11785" max="11785" width="20.42578125" bestFit="1" customWidth="1"/>
    <col min="12033" max="12033" width="17.42578125" bestFit="1" customWidth="1"/>
    <col min="12034" max="12034" width="13.42578125" bestFit="1" customWidth="1"/>
    <col min="12035" max="12035" width="12.42578125" bestFit="1" customWidth="1"/>
    <col min="12036" max="12036" width="21.42578125" bestFit="1" customWidth="1"/>
    <col min="12038" max="12038" width="16.85546875" bestFit="1" customWidth="1"/>
    <col min="12039" max="12039" width="17.5703125" bestFit="1" customWidth="1"/>
    <col min="12040" max="12040" width="16.85546875" bestFit="1" customWidth="1"/>
    <col min="12041" max="12041" width="20.42578125" bestFit="1" customWidth="1"/>
    <col min="12289" max="12289" width="17.42578125" bestFit="1" customWidth="1"/>
    <col min="12290" max="12290" width="13.42578125" bestFit="1" customWidth="1"/>
    <col min="12291" max="12291" width="12.42578125" bestFit="1" customWidth="1"/>
    <col min="12292" max="12292" width="21.42578125" bestFit="1" customWidth="1"/>
    <col min="12294" max="12294" width="16.85546875" bestFit="1" customWidth="1"/>
    <col min="12295" max="12295" width="17.5703125" bestFit="1" customWidth="1"/>
    <col min="12296" max="12296" width="16.85546875" bestFit="1" customWidth="1"/>
    <col min="12297" max="12297" width="20.42578125" bestFit="1" customWidth="1"/>
    <col min="12545" max="12545" width="17.42578125" bestFit="1" customWidth="1"/>
    <col min="12546" max="12546" width="13.42578125" bestFit="1" customWidth="1"/>
    <col min="12547" max="12547" width="12.42578125" bestFit="1" customWidth="1"/>
    <col min="12548" max="12548" width="21.42578125" bestFit="1" customWidth="1"/>
    <col min="12550" max="12550" width="16.85546875" bestFit="1" customWidth="1"/>
    <col min="12551" max="12551" width="17.5703125" bestFit="1" customWidth="1"/>
    <col min="12552" max="12552" width="16.85546875" bestFit="1" customWidth="1"/>
    <col min="12553" max="12553" width="20.42578125" bestFit="1" customWidth="1"/>
    <col min="12801" max="12801" width="17.42578125" bestFit="1" customWidth="1"/>
    <col min="12802" max="12802" width="13.42578125" bestFit="1" customWidth="1"/>
    <col min="12803" max="12803" width="12.42578125" bestFit="1" customWidth="1"/>
    <col min="12804" max="12804" width="21.42578125" bestFit="1" customWidth="1"/>
    <col min="12806" max="12806" width="16.85546875" bestFit="1" customWidth="1"/>
    <col min="12807" max="12807" width="17.5703125" bestFit="1" customWidth="1"/>
    <col min="12808" max="12808" width="16.85546875" bestFit="1" customWidth="1"/>
    <col min="12809" max="12809" width="20.42578125" bestFit="1" customWidth="1"/>
    <col min="13057" max="13057" width="17.42578125" bestFit="1" customWidth="1"/>
    <col min="13058" max="13058" width="13.42578125" bestFit="1" customWidth="1"/>
    <col min="13059" max="13059" width="12.42578125" bestFit="1" customWidth="1"/>
    <col min="13060" max="13060" width="21.42578125" bestFit="1" customWidth="1"/>
    <col min="13062" max="13062" width="16.85546875" bestFit="1" customWidth="1"/>
    <col min="13063" max="13063" width="17.5703125" bestFit="1" customWidth="1"/>
    <col min="13064" max="13064" width="16.85546875" bestFit="1" customWidth="1"/>
    <col min="13065" max="13065" width="20.42578125" bestFit="1" customWidth="1"/>
    <col min="13313" max="13313" width="17.42578125" bestFit="1" customWidth="1"/>
    <col min="13314" max="13314" width="13.42578125" bestFit="1" customWidth="1"/>
    <col min="13315" max="13315" width="12.42578125" bestFit="1" customWidth="1"/>
    <col min="13316" max="13316" width="21.42578125" bestFit="1" customWidth="1"/>
    <col min="13318" max="13318" width="16.85546875" bestFit="1" customWidth="1"/>
    <col min="13319" max="13319" width="17.5703125" bestFit="1" customWidth="1"/>
    <col min="13320" max="13320" width="16.85546875" bestFit="1" customWidth="1"/>
    <col min="13321" max="13321" width="20.42578125" bestFit="1" customWidth="1"/>
    <col min="13569" max="13569" width="17.42578125" bestFit="1" customWidth="1"/>
    <col min="13570" max="13570" width="13.42578125" bestFit="1" customWidth="1"/>
    <col min="13571" max="13571" width="12.42578125" bestFit="1" customWidth="1"/>
    <col min="13572" max="13572" width="21.42578125" bestFit="1" customWidth="1"/>
    <col min="13574" max="13574" width="16.85546875" bestFit="1" customWidth="1"/>
    <col min="13575" max="13575" width="17.5703125" bestFit="1" customWidth="1"/>
    <col min="13576" max="13576" width="16.85546875" bestFit="1" customWidth="1"/>
    <col min="13577" max="13577" width="20.42578125" bestFit="1" customWidth="1"/>
    <col min="13825" max="13825" width="17.42578125" bestFit="1" customWidth="1"/>
    <col min="13826" max="13826" width="13.42578125" bestFit="1" customWidth="1"/>
    <col min="13827" max="13827" width="12.42578125" bestFit="1" customWidth="1"/>
    <col min="13828" max="13828" width="21.42578125" bestFit="1" customWidth="1"/>
    <col min="13830" max="13830" width="16.85546875" bestFit="1" customWidth="1"/>
    <col min="13831" max="13831" width="17.5703125" bestFit="1" customWidth="1"/>
    <col min="13832" max="13832" width="16.85546875" bestFit="1" customWidth="1"/>
    <col min="13833" max="13833" width="20.42578125" bestFit="1" customWidth="1"/>
    <col min="14081" max="14081" width="17.42578125" bestFit="1" customWidth="1"/>
    <col min="14082" max="14082" width="13.42578125" bestFit="1" customWidth="1"/>
    <col min="14083" max="14083" width="12.42578125" bestFit="1" customWidth="1"/>
    <col min="14084" max="14084" width="21.42578125" bestFit="1" customWidth="1"/>
    <col min="14086" max="14086" width="16.85546875" bestFit="1" customWidth="1"/>
    <col min="14087" max="14087" width="17.5703125" bestFit="1" customWidth="1"/>
    <col min="14088" max="14088" width="16.85546875" bestFit="1" customWidth="1"/>
    <col min="14089" max="14089" width="20.42578125" bestFit="1" customWidth="1"/>
    <col min="14337" max="14337" width="17.42578125" bestFit="1" customWidth="1"/>
    <col min="14338" max="14338" width="13.42578125" bestFit="1" customWidth="1"/>
    <col min="14339" max="14339" width="12.42578125" bestFit="1" customWidth="1"/>
    <col min="14340" max="14340" width="21.42578125" bestFit="1" customWidth="1"/>
    <col min="14342" max="14342" width="16.85546875" bestFit="1" customWidth="1"/>
    <col min="14343" max="14343" width="17.5703125" bestFit="1" customWidth="1"/>
    <col min="14344" max="14344" width="16.85546875" bestFit="1" customWidth="1"/>
    <col min="14345" max="14345" width="20.42578125" bestFit="1" customWidth="1"/>
    <col min="14593" max="14593" width="17.42578125" bestFit="1" customWidth="1"/>
    <col min="14594" max="14594" width="13.42578125" bestFit="1" customWidth="1"/>
    <col min="14595" max="14595" width="12.42578125" bestFit="1" customWidth="1"/>
    <col min="14596" max="14596" width="21.42578125" bestFit="1" customWidth="1"/>
    <col min="14598" max="14598" width="16.85546875" bestFit="1" customWidth="1"/>
    <col min="14599" max="14599" width="17.5703125" bestFit="1" customWidth="1"/>
    <col min="14600" max="14600" width="16.85546875" bestFit="1" customWidth="1"/>
    <col min="14601" max="14601" width="20.42578125" bestFit="1" customWidth="1"/>
    <col min="14849" max="14849" width="17.42578125" bestFit="1" customWidth="1"/>
    <col min="14850" max="14850" width="13.42578125" bestFit="1" customWidth="1"/>
    <col min="14851" max="14851" width="12.42578125" bestFit="1" customWidth="1"/>
    <col min="14852" max="14852" width="21.42578125" bestFit="1" customWidth="1"/>
    <col min="14854" max="14854" width="16.85546875" bestFit="1" customWidth="1"/>
    <col min="14855" max="14855" width="17.5703125" bestFit="1" customWidth="1"/>
    <col min="14856" max="14856" width="16.85546875" bestFit="1" customWidth="1"/>
    <col min="14857" max="14857" width="20.42578125" bestFit="1" customWidth="1"/>
    <col min="15105" max="15105" width="17.42578125" bestFit="1" customWidth="1"/>
    <col min="15106" max="15106" width="13.42578125" bestFit="1" customWidth="1"/>
    <col min="15107" max="15107" width="12.42578125" bestFit="1" customWidth="1"/>
    <col min="15108" max="15108" width="21.42578125" bestFit="1" customWidth="1"/>
    <col min="15110" max="15110" width="16.85546875" bestFit="1" customWidth="1"/>
    <col min="15111" max="15111" width="17.5703125" bestFit="1" customWidth="1"/>
    <col min="15112" max="15112" width="16.85546875" bestFit="1" customWidth="1"/>
    <col min="15113" max="15113" width="20.42578125" bestFit="1" customWidth="1"/>
    <col min="15361" max="15361" width="17.42578125" bestFit="1" customWidth="1"/>
    <col min="15362" max="15362" width="13.42578125" bestFit="1" customWidth="1"/>
    <col min="15363" max="15363" width="12.42578125" bestFit="1" customWidth="1"/>
    <col min="15364" max="15364" width="21.42578125" bestFit="1" customWidth="1"/>
    <col min="15366" max="15366" width="16.85546875" bestFit="1" customWidth="1"/>
    <col min="15367" max="15367" width="17.5703125" bestFit="1" customWidth="1"/>
    <col min="15368" max="15368" width="16.85546875" bestFit="1" customWidth="1"/>
    <col min="15369" max="15369" width="20.42578125" bestFit="1" customWidth="1"/>
    <col min="15617" max="15617" width="17.42578125" bestFit="1" customWidth="1"/>
    <col min="15618" max="15618" width="13.42578125" bestFit="1" customWidth="1"/>
    <col min="15619" max="15619" width="12.42578125" bestFit="1" customWidth="1"/>
    <col min="15620" max="15620" width="21.42578125" bestFit="1" customWidth="1"/>
    <col min="15622" max="15622" width="16.85546875" bestFit="1" customWidth="1"/>
    <col min="15623" max="15623" width="17.5703125" bestFit="1" customWidth="1"/>
    <col min="15624" max="15624" width="16.85546875" bestFit="1" customWidth="1"/>
    <col min="15625" max="15625" width="20.42578125" bestFit="1" customWidth="1"/>
    <col min="15873" max="15873" width="17.42578125" bestFit="1" customWidth="1"/>
    <col min="15874" max="15874" width="13.42578125" bestFit="1" customWidth="1"/>
    <col min="15875" max="15875" width="12.42578125" bestFit="1" customWidth="1"/>
    <col min="15876" max="15876" width="21.42578125" bestFit="1" customWidth="1"/>
    <col min="15878" max="15878" width="16.85546875" bestFit="1" customWidth="1"/>
    <col min="15879" max="15879" width="17.5703125" bestFit="1" customWidth="1"/>
    <col min="15880" max="15880" width="16.85546875" bestFit="1" customWidth="1"/>
    <col min="15881" max="15881" width="20.42578125" bestFit="1" customWidth="1"/>
    <col min="16129" max="16129" width="17.42578125" bestFit="1" customWidth="1"/>
    <col min="16130" max="16130" width="13.42578125" bestFit="1" customWidth="1"/>
    <col min="16131" max="16131" width="12.42578125" bestFit="1" customWidth="1"/>
    <col min="16132" max="16132" width="21.42578125" bestFit="1" customWidth="1"/>
    <col min="16134" max="16134" width="16.85546875" bestFit="1" customWidth="1"/>
    <col min="16135" max="16135" width="17.5703125" bestFit="1" customWidth="1"/>
    <col min="16136" max="16136" width="16.85546875" bestFit="1" customWidth="1"/>
    <col min="16137" max="16137" width="20.42578125" bestFit="1" customWidth="1"/>
  </cols>
  <sheetData>
    <row r="1" spans="1:9" ht="30" x14ac:dyDescent="0.25">
      <c r="A1" s="68" t="s">
        <v>192</v>
      </c>
      <c r="B1" s="68" t="s">
        <v>193</v>
      </c>
      <c r="C1" s="205" t="s">
        <v>194</v>
      </c>
      <c r="D1" s="205"/>
      <c r="E1" s="205"/>
      <c r="F1" s="205"/>
      <c r="G1" s="205"/>
      <c r="H1" s="205"/>
      <c r="I1" s="205"/>
    </row>
    <row r="2" spans="1:9" x14ac:dyDescent="0.25">
      <c r="A2" s="55"/>
      <c r="B2" s="55"/>
      <c r="C2" s="55" t="s">
        <v>195</v>
      </c>
      <c r="D2" s="55" t="s">
        <v>196</v>
      </c>
      <c r="E2" s="55" t="s">
        <v>197</v>
      </c>
      <c r="F2" s="55" t="s">
        <v>198</v>
      </c>
      <c r="G2" s="55" t="s">
        <v>199</v>
      </c>
      <c r="H2" s="55" t="s">
        <v>200</v>
      </c>
      <c r="I2" s="55" t="s">
        <v>201</v>
      </c>
    </row>
    <row r="3" spans="1:9" x14ac:dyDescent="0.25">
      <c r="A3" s="70">
        <v>22</v>
      </c>
      <c r="B3" s="71" t="s">
        <v>177</v>
      </c>
      <c r="C3" s="55">
        <v>5.0000000000000001E-3</v>
      </c>
      <c r="D3" s="55"/>
      <c r="E3" s="55"/>
      <c r="F3" s="55"/>
      <c r="G3" s="55"/>
      <c r="H3" s="55"/>
      <c r="I3" s="55"/>
    </row>
    <row r="4" spans="1:9" x14ac:dyDescent="0.25">
      <c r="A4" s="70"/>
      <c r="B4" s="71" t="s">
        <v>178</v>
      </c>
      <c r="C4" s="55">
        <v>5.0000000000000001E-3</v>
      </c>
      <c r="D4" s="55"/>
      <c r="E4" s="55"/>
      <c r="F4" s="55"/>
      <c r="G4" s="55"/>
      <c r="H4" s="55"/>
      <c r="I4" s="55"/>
    </row>
    <row r="5" spans="1:9" x14ac:dyDescent="0.25">
      <c r="A5" s="70"/>
      <c r="B5" s="71" t="s">
        <v>179</v>
      </c>
      <c r="C5" s="55">
        <v>5.0000000000000001E-3</v>
      </c>
      <c r="D5" s="55"/>
      <c r="E5" s="55"/>
      <c r="F5" s="55"/>
      <c r="G5" s="55"/>
      <c r="H5" s="55"/>
      <c r="I5" s="55"/>
    </row>
    <row r="6" spans="1:9" x14ac:dyDescent="0.25">
      <c r="A6" s="70"/>
      <c r="B6" s="71" t="s">
        <v>180</v>
      </c>
      <c r="C6" s="55">
        <v>5.0000000000000001E-3</v>
      </c>
      <c r="D6" s="55"/>
      <c r="E6" s="55"/>
      <c r="F6" s="55"/>
      <c r="G6" s="55"/>
      <c r="H6" s="55"/>
      <c r="I6" s="55"/>
    </row>
    <row r="7" spans="1:9" x14ac:dyDescent="0.25">
      <c r="A7" s="70"/>
      <c r="B7" s="71" t="s">
        <v>184</v>
      </c>
      <c r="C7" s="55">
        <v>5.0000000000000001E-3</v>
      </c>
      <c r="D7" s="55"/>
      <c r="E7" s="55"/>
      <c r="F7" s="55"/>
      <c r="G7" s="55"/>
      <c r="H7" s="55"/>
      <c r="I7" s="55"/>
    </row>
    <row r="8" spans="1:9" x14ac:dyDescent="0.25">
      <c r="A8" s="70"/>
      <c r="B8" s="71" t="s">
        <v>185</v>
      </c>
      <c r="C8" s="55">
        <v>5.0000000000000001E-3</v>
      </c>
      <c r="D8" s="55"/>
      <c r="E8" s="55"/>
      <c r="F8" s="55"/>
      <c r="G8" s="55"/>
      <c r="H8" s="55"/>
      <c r="I8" s="55"/>
    </row>
    <row r="9" spans="1:9" x14ac:dyDescent="0.25">
      <c r="A9" s="70"/>
      <c r="B9" s="71" t="s">
        <v>186</v>
      </c>
      <c r="C9" s="55">
        <v>5.0000000000000001E-3</v>
      </c>
      <c r="D9" s="55"/>
      <c r="E9" s="55"/>
      <c r="F9" s="55"/>
      <c r="G9" s="55"/>
      <c r="H9" s="55"/>
      <c r="I9" s="55"/>
    </row>
    <row r="10" spans="1:9" x14ac:dyDescent="0.25">
      <c r="A10" s="70"/>
      <c r="B10" s="71" t="s">
        <v>187</v>
      </c>
      <c r="C10" s="55">
        <v>5.0000000000000001E-3</v>
      </c>
      <c r="D10" s="55"/>
      <c r="E10" s="55"/>
      <c r="F10" s="55"/>
      <c r="G10" s="55"/>
      <c r="H10" s="55"/>
      <c r="I10" s="55"/>
    </row>
    <row r="11" spans="1:9" x14ac:dyDescent="0.25">
      <c r="A11" s="72">
        <v>24</v>
      </c>
      <c r="B11" s="73" t="s">
        <v>177</v>
      </c>
      <c r="C11" s="55">
        <v>5.0000000000000001E-3</v>
      </c>
      <c r="D11" s="55"/>
      <c r="E11" s="55"/>
      <c r="F11" s="55"/>
      <c r="G11" s="55"/>
      <c r="H11" s="55"/>
      <c r="I11" s="55"/>
    </row>
    <row r="12" spans="1:9" x14ac:dyDescent="0.25">
      <c r="A12" s="72"/>
      <c r="B12" s="73" t="s">
        <v>178</v>
      </c>
      <c r="C12" s="55">
        <v>5.0000000000000001E-3</v>
      </c>
      <c r="D12" s="55"/>
      <c r="E12" s="55"/>
      <c r="F12" s="55"/>
      <c r="G12" s="55"/>
      <c r="H12" s="55"/>
      <c r="I12" s="55"/>
    </row>
    <row r="13" spans="1:9" x14ac:dyDescent="0.25">
      <c r="A13" s="72"/>
      <c r="B13" s="73" t="s">
        <v>179</v>
      </c>
      <c r="C13" s="55">
        <v>5.0000000000000001E-3</v>
      </c>
      <c r="D13" s="55"/>
      <c r="E13" s="55"/>
      <c r="F13" s="55"/>
      <c r="G13" s="55"/>
      <c r="H13" s="55"/>
      <c r="I13" s="55"/>
    </row>
    <row r="14" spans="1:9" x14ac:dyDescent="0.25">
      <c r="A14" s="72"/>
      <c r="B14" s="73" t="s">
        <v>180</v>
      </c>
      <c r="C14" s="55">
        <v>5.0000000000000001E-3</v>
      </c>
      <c r="D14" s="55"/>
      <c r="E14" s="55"/>
      <c r="F14" s="55"/>
      <c r="G14" s="55"/>
      <c r="H14" s="55"/>
      <c r="I14" s="55"/>
    </row>
    <row r="15" spans="1:9" x14ac:dyDescent="0.25">
      <c r="A15" s="72"/>
      <c r="B15" s="73" t="s">
        <v>184</v>
      </c>
      <c r="C15" s="55">
        <v>5.0000000000000001E-3</v>
      </c>
      <c r="D15" s="55"/>
      <c r="E15" s="55"/>
      <c r="F15" s="55">
        <v>0</v>
      </c>
      <c r="G15" s="55">
        <v>0.01</v>
      </c>
      <c r="H15" s="55"/>
      <c r="I15" s="55"/>
    </row>
    <row r="16" spans="1:9" x14ac:dyDescent="0.25">
      <c r="A16" s="72"/>
      <c r="B16" s="73" t="s">
        <v>185</v>
      </c>
      <c r="C16" s="55">
        <v>5.0000000000000001E-3</v>
      </c>
      <c r="D16" s="55"/>
      <c r="E16" s="55"/>
      <c r="F16" s="55">
        <v>0</v>
      </c>
      <c r="G16" s="55">
        <v>0.01</v>
      </c>
      <c r="H16" s="55"/>
      <c r="I16" s="55"/>
    </row>
    <row r="17" spans="1:9" x14ac:dyDescent="0.25">
      <c r="A17" s="72"/>
      <c r="B17" s="73" t="s">
        <v>186</v>
      </c>
      <c r="C17" s="55">
        <v>5.0000000000000001E-3</v>
      </c>
      <c r="D17" s="55"/>
      <c r="E17" s="55"/>
      <c r="F17" s="55">
        <v>0</v>
      </c>
      <c r="G17" s="55">
        <v>0.01</v>
      </c>
      <c r="H17" s="55"/>
      <c r="I17" s="55"/>
    </row>
    <row r="18" spans="1:9" x14ac:dyDescent="0.25">
      <c r="A18" s="72"/>
      <c r="B18" s="73" t="s">
        <v>187</v>
      </c>
      <c r="C18" s="55">
        <v>5.0000000000000001E-3</v>
      </c>
      <c r="D18" s="55"/>
      <c r="E18" s="55"/>
      <c r="F18" s="55">
        <v>0</v>
      </c>
      <c r="G18" s="55">
        <v>0.01</v>
      </c>
      <c r="H18" s="55"/>
      <c r="I18" s="55"/>
    </row>
    <row r="19" spans="1:9" x14ac:dyDescent="0.25">
      <c r="A19" s="74">
        <v>25</v>
      </c>
      <c r="B19" s="75" t="s">
        <v>177</v>
      </c>
      <c r="C19" s="55">
        <v>5.0000000000000001E-3</v>
      </c>
      <c r="D19" s="55"/>
      <c r="E19" s="55"/>
      <c r="F19" s="55"/>
      <c r="G19" s="55"/>
      <c r="H19" s="55"/>
      <c r="I19" s="55"/>
    </row>
    <row r="20" spans="1:9" x14ac:dyDescent="0.25">
      <c r="A20" s="74"/>
      <c r="B20" s="75" t="s">
        <v>178</v>
      </c>
      <c r="C20" s="55">
        <v>5.0000000000000001E-3</v>
      </c>
      <c r="D20" s="55"/>
      <c r="E20" s="55"/>
      <c r="F20" s="55"/>
      <c r="G20" s="55"/>
      <c r="H20" s="55"/>
      <c r="I20" s="55"/>
    </row>
    <row r="21" spans="1:9" x14ac:dyDescent="0.25">
      <c r="A21" s="74"/>
      <c r="B21" s="75" t="s">
        <v>179</v>
      </c>
      <c r="C21" s="55">
        <v>5.0000000000000001E-3</v>
      </c>
      <c r="D21" s="55"/>
      <c r="E21" s="55"/>
      <c r="F21" s="55"/>
      <c r="G21" s="55"/>
      <c r="H21" s="55"/>
      <c r="I21" s="55"/>
    </row>
    <row r="22" spans="1:9" x14ac:dyDescent="0.25">
      <c r="A22" s="74"/>
      <c r="B22" s="75" t="s">
        <v>180</v>
      </c>
      <c r="C22" s="55">
        <v>5.0000000000000001E-3</v>
      </c>
      <c r="D22" s="55"/>
      <c r="E22" s="55"/>
      <c r="F22" s="55"/>
      <c r="G22" s="55"/>
      <c r="H22" s="55"/>
      <c r="I22" s="55"/>
    </row>
    <row r="23" spans="1:9" x14ac:dyDescent="0.25">
      <c r="A23" s="74"/>
      <c r="B23" s="75" t="s">
        <v>181</v>
      </c>
      <c r="C23" s="55">
        <v>5.0000000000000001E-3</v>
      </c>
      <c r="D23" s="55"/>
      <c r="E23" s="55">
        <v>0.02</v>
      </c>
      <c r="F23" s="55"/>
      <c r="G23" s="55"/>
      <c r="H23" s="55"/>
      <c r="I23" s="55"/>
    </row>
    <row r="24" spans="1:9" x14ac:dyDescent="0.25">
      <c r="A24" s="74"/>
      <c r="B24" s="75" t="s">
        <v>184</v>
      </c>
      <c r="C24" s="55">
        <v>5.0000000000000001E-3</v>
      </c>
      <c r="D24" s="55"/>
      <c r="E24" s="55"/>
      <c r="F24" s="55">
        <v>0</v>
      </c>
      <c r="G24" s="55">
        <v>0.01</v>
      </c>
      <c r="H24" s="55"/>
      <c r="I24" s="55"/>
    </row>
    <row r="25" spans="1:9" x14ac:dyDescent="0.25">
      <c r="A25" s="74"/>
      <c r="B25" s="75" t="s">
        <v>185</v>
      </c>
      <c r="C25" s="55">
        <v>5.0000000000000001E-3</v>
      </c>
      <c r="D25" s="55"/>
      <c r="E25" s="55"/>
      <c r="F25" s="55">
        <v>0</v>
      </c>
      <c r="G25" s="55">
        <v>0.01</v>
      </c>
      <c r="H25" s="55"/>
      <c r="I25" s="55"/>
    </row>
    <row r="26" spans="1:9" x14ac:dyDescent="0.25">
      <c r="A26" s="74"/>
      <c r="B26" s="75" t="s">
        <v>186</v>
      </c>
      <c r="C26" s="55">
        <v>5.0000000000000001E-3</v>
      </c>
      <c r="D26" s="55"/>
      <c r="E26" s="55"/>
      <c r="F26" s="55">
        <v>0</v>
      </c>
      <c r="G26" s="55">
        <v>0.01</v>
      </c>
      <c r="H26" s="55"/>
      <c r="I26" s="55"/>
    </row>
    <row r="27" spans="1:9" x14ac:dyDescent="0.25">
      <c r="A27" s="74"/>
      <c r="B27" s="75" t="s">
        <v>187</v>
      </c>
      <c r="C27" s="55">
        <v>5.0000000000000001E-3</v>
      </c>
      <c r="D27" s="55"/>
      <c r="E27" s="55"/>
      <c r="F27" s="55">
        <v>0</v>
      </c>
      <c r="G27" s="55">
        <v>0.01</v>
      </c>
      <c r="H27" s="55"/>
      <c r="I27" s="55"/>
    </row>
    <row r="28" spans="1:9" x14ac:dyDescent="0.25">
      <c r="A28" s="76" t="s">
        <v>202</v>
      </c>
      <c r="B28" s="77" t="s">
        <v>114</v>
      </c>
      <c r="C28" s="55">
        <v>5.0000000000000001E-3</v>
      </c>
      <c r="D28" s="55"/>
      <c r="E28" s="55">
        <v>0.02</v>
      </c>
      <c r="F28" s="55"/>
      <c r="G28" s="55"/>
      <c r="H28" s="55"/>
      <c r="I28" s="55"/>
    </row>
    <row r="29" spans="1:9" x14ac:dyDescent="0.25">
      <c r="A29" s="77"/>
      <c r="B29" s="77" t="s">
        <v>116</v>
      </c>
      <c r="C29" s="55">
        <v>5.0000000000000001E-3</v>
      </c>
      <c r="D29" s="55"/>
      <c r="E29" s="55">
        <v>0.02</v>
      </c>
      <c r="F29" s="55"/>
      <c r="G29" s="55"/>
      <c r="H29" s="55"/>
      <c r="I29" s="55"/>
    </row>
    <row r="30" spans="1:9" x14ac:dyDescent="0.25">
      <c r="A30" s="77"/>
      <c r="B30" s="77" t="s">
        <v>78</v>
      </c>
      <c r="C30" s="55"/>
      <c r="D30" s="55"/>
      <c r="E30" s="55"/>
      <c r="F30" s="55"/>
      <c r="G30" s="55"/>
      <c r="H30" s="55"/>
      <c r="I30" s="55"/>
    </row>
    <row r="31" spans="1:9" x14ac:dyDescent="0.25">
      <c r="A31" s="77"/>
      <c r="B31" s="77" t="s">
        <v>188</v>
      </c>
      <c r="C31" s="55"/>
      <c r="D31" s="55"/>
      <c r="E31" s="55"/>
      <c r="F31" s="55"/>
      <c r="G31" s="55"/>
      <c r="H31" s="93">
        <v>1E-3</v>
      </c>
      <c r="I31" s="93">
        <v>1E-3</v>
      </c>
    </row>
    <row r="32" spans="1:9" x14ac:dyDescent="0.25">
      <c r="A32" s="77"/>
      <c r="B32" s="77" t="s">
        <v>189</v>
      </c>
      <c r="C32" s="55"/>
      <c r="D32" s="55"/>
      <c r="E32" s="55"/>
      <c r="F32" s="55"/>
      <c r="G32" s="55"/>
      <c r="H32" s="93">
        <v>0.01</v>
      </c>
      <c r="I32" s="93">
        <v>0.01</v>
      </c>
    </row>
    <row r="33" spans="1:9" x14ac:dyDescent="0.25">
      <c r="A33" s="77"/>
      <c r="B33" s="77" t="s">
        <v>190</v>
      </c>
      <c r="C33" s="55"/>
      <c r="D33" s="55"/>
      <c r="E33" s="55"/>
      <c r="F33" s="55"/>
      <c r="G33" s="55"/>
      <c r="H33" s="93">
        <v>0.01</v>
      </c>
      <c r="I33" s="93">
        <v>0.01</v>
      </c>
    </row>
    <row r="34" spans="1:9" x14ac:dyDescent="0.25">
      <c r="A34" s="77"/>
      <c r="B34" s="77" t="s">
        <v>90</v>
      </c>
      <c r="C34" s="55"/>
      <c r="D34" s="55"/>
      <c r="E34" s="55"/>
      <c r="F34" s="55"/>
      <c r="G34" s="55"/>
      <c r="H34" s="93">
        <v>0.01</v>
      </c>
      <c r="I34" s="93">
        <v>0.01</v>
      </c>
    </row>
    <row r="35" spans="1:9" x14ac:dyDescent="0.25">
      <c r="A35" s="77"/>
      <c r="B35" s="77" t="s">
        <v>75</v>
      </c>
      <c r="C35" s="55"/>
      <c r="D35" s="55" t="s">
        <v>77</v>
      </c>
      <c r="E35" s="55"/>
      <c r="F35" s="55"/>
      <c r="G35" s="55"/>
      <c r="H35" s="55"/>
      <c r="I35" s="55"/>
    </row>
  </sheetData>
  <mergeCells count="1">
    <mergeCell ref="C1:I1"/>
  </mergeCells>
  <pageMargins left="0.7" right="0.7" top="0.75" bottom="0.75" header="0.3" footer="0.3"/>
  <pageSetup orientation="portrait" horizontalDpi="0" verticalDpi="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topLeftCell="J72" zoomScaleNormal="100" workbookViewId="0">
      <selection activeCell="U75" sqref="U75"/>
    </sheetView>
  </sheetViews>
  <sheetFormatPr defaultRowHeight="15" outlineLevelCol="1" x14ac:dyDescent="0.25"/>
  <cols>
    <col min="1" max="1" width="17.42578125" bestFit="1" customWidth="1"/>
    <col min="2" max="2" width="20.5703125" bestFit="1" customWidth="1"/>
    <col min="3" max="3" width="12.42578125" hidden="1" customWidth="1" outlineLevel="1"/>
    <col min="4" max="4" width="21.42578125" hidden="1" customWidth="1" outlineLevel="1"/>
    <col min="5" max="5" width="9.140625" hidden="1" customWidth="1" outlineLevel="1"/>
    <col min="6" max="6" width="16.85546875" hidden="1" customWidth="1" outlineLevel="1"/>
    <col min="7" max="7" width="17.5703125" hidden="1" customWidth="1" outlineLevel="1"/>
    <col min="8" max="8" width="16.85546875" hidden="1" customWidth="1" outlineLevel="1"/>
    <col min="9" max="9" width="20.42578125" hidden="1" customWidth="1" outlineLevel="1"/>
    <col min="10" max="10" width="9.140625" collapsed="1"/>
    <col min="17" max="17" width="10.28515625" customWidth="1"/>
    <col min="18" max="18" width="10.42578125" customWidth="1"/>
    <col min="19" max="19" width="10.7109375" customWidth="1"/>
    <col min="257" max="257" width="17.42578125" bestFit="1" customWidth="1"/>
    <col min="258" max="258" width="20.5703125" bestFit="1" customWidth="1"/>
    <col min="259" max="259" width="12.42578125" bestFit="1" customWidth="1"/>
    <col min="260" max="260" width="21.42578125" bestFit="1" customWidth="1"/>
    <col min="262" max="262" width="16.85546875" bestFit="1" customWidth="1"/>
    <col min="263" max="263" width="17.5703125" bestFit="1" customWidth="1"/>
    <col min="264" max="264" width="16.85546875" bestFit="1" customWidth="1"/>
    <col min="265" max="265" width="20.42578125" bestFit="1" customWidth="1"/>
    <col min="513" max="513" width="17.42578125" bestFit="1" customWidth="1"/>
    <col min="514" max="514" width="20.5703125" bestFit="1" customWidth="1"/>
    <col min="515" max="515" width="12.42578125" bestFit="1" customWidth="1"/>
    <col min="516" max="516" width="21.42578125" bestFit="1" customWidth="1"/>
    <col min="518" max="518" width="16.85546875" bestFit="1" customWidth="1"/>
    <col min="519" max="519" width="17.5703125" bestFit="1" customWidth="1"/>
    <col min="520" max="520" width="16.85546875" bestFit="1" customWidth="1"/>
    <col min="521" max="521" width="20.42578125" bestFit="1" customWidth="1"/>
    <col min="769" max="769" width="17.42578125" bestFit="1" customWidth="1"/>
    <col min="770" max="770" width="20.5703125" bestFit="1" customWidth="1"/>
    <col min="771" max="771" width="12.42578125" bestFit="1" customWidth="1"/>
    <col min="772" max="772" width="21.42578125" bestFit="1" customWidth="1"/>
    <col min="774" max="774" width="16.85546875" bestFit="1" customWidth="1"/>
    <col min="775" max="775" width="17.5703125" bestFit="1" customWidth="1"/>
    <col min="776" max="776" width="16.85546875" bestFit="1" customWidth="1"/>
    <col min="777" max="777" width="20.42578125" bestFit="1" customWidth="1"/>
    <col min="1025" max="1025" width="17.42578125" bestFit="1" customWidth="1"/>
    <col min="1026" max="1026" width="20.5703125" bestFit="1" customWidth="1"/>
    <col min="1027" max="1027" width="12.42578125" bestFit="1" customWidth="1"/>
    <col min="1028" max="1028" width="21.42578125" bestFit="1" customWidth="1"/>
    <col min="1030" max="1030" width="16.85546875" bestFit="1" customWidth="1"/>
    <col min="1031" max="1031" width="17.5703125" bestFit="1" customWidth="1"/>
    <col min="1032" max="1032" width="16.85546875" bestFit="1" customWidth="1"/>
    <col min="1033" max="1033" width="20.42578125" bestFit="1" customWidth="1"/>
    <col min="1281" max="1281" width="17.42578125" bestFit="1" customWidth="1"/>
    <col min="1282" max="1282" width="20.5703125" bestFit="1" customWidth="1"/>
    <col min="1283" max="1283" width="12.42578125" bestFit="1" customWidth="1"/>
    <col min="1284" max="1284" width="21.42578125" bestFit="1" customWidth="1"/>
    <col min="1286" max="1286" width="16.85546875" bestFit="1" customWidth="1"/>
    <col min="1287" max="1287" width="17.5703125" bestFit="1" customWidth="1"/>
    <col min="1288" max="1288" width="16.85546875" bestFit="1" customWidth="1"/>
    <col min="1289" max="1289" width="20.42578125" bestFit="1" customWidth="1"/>
    <col min="1537" max="1537" width="17.42578125" bestFit="1" customWidth="1"/>
    <col min="1538" max="1538" width="20.5703125" bestFit="1" customWidth="1"/>
    <col min="1539" max="1539" width="12.42578125" bestFit="1" customWidth="1"/>
    <col min="1540" max="1540" width="21.42578125" bestFit="1" customWidth="1"/>
    <col min="1542" max="1542" width="16.85546875" bestFit="1" customWidth="1"/>
    <col min="1543" max="1543" width="17.5703125" bestFit="1" customWidth="1"/>
    <col min="1544" max="1544" width="16.85546875" bestFit="1" customWidth="1"/>
    <col min="1545" max="1545" width="20.42578125" bestFit="1" customWidth="1"/>
    <col min="1793" max="1793" width="17.42578125" bestFit="1" customWidth="1"/>
    <col min="1794" max="1794" width="20.5703125" bestFit="1" customWidth="1"/>
    <col min="1795" max="1795" width="12.42578125" bestFit="1" customWidth="1"/>
    <col min="1796" max="1796" width="21.42578125" bestFit="1" customWidth="1"/>
    <col min="1798" max="1798" width="16.85546875" bestFit="1" customWidth="1"/>
    <col min="1799" max="1799" width="17.5703125" bestFit="1" customWidth="1"/>
    <col min="1800" max="1800" width="16.85546875" bestFit="1" customWidth="1"/>
    <col min="1801" max="1801" width="20.42578125" bestFit="1" customWidth="1"/>
    <col min="2049" max="2049" width="17.42578125" bestFit="1" customWidth="1"/>
    <col min="2050" max="2050" width="20.5703125" bestFit="1" customWidth="1"/>
    <col min="2051" max="2051" width="12.42578125" bestFit="1" customWidth="1"/>
    <col min="2052" max="2052" width="21.42578125" bestFit="1" customWidth="1"/>
    <col min="2054" max="2054" width="16.85546875" bestFit="1" customWidth="1"/>
    <col min="2055" max="2055" width="17.5703125" bestFit="1" customWidth="1"/>
    <col min="2056" max="2056" width="16.85546875" bestFit="1" customWidth="1"/>
    <col min="2057" max="2057" width="20.42578125" bestFit="1" customWidth="1"/>
    <col min="2305" max="2305" width="17.42578125" bestFit="1" customWidth="1"/>
    <col min="2306" max="2306" width="20.5703125" bestFit="1" customWidth="1"/>
    <col min="2307" max="2307" width="12.42578125" bestFit="1" customWidth="1"/>
    <col min="2308" max="2308" width="21.42578125" bestFit="1" customWidth="1"/>
    <col min="2310" max="2310" width="16.85546875" bestFit="1" customWidth="1"/>
    <col min="2311" max="2311" width="17.5703125" bestFit="1" customWidth="1"/>
    <col min="2312" max="2312" width="16.85546875" bestFit="1" customWidth="1"/>
    <col min="2313" max="2313" width="20.42578125" bestFit="1" customWidth="1"/>
    <col min="2561" max="2561" width="17.42578125" bestFit="1" customWidth="1"/>
    <col min="2562" max="2562" width="20.5703125" bestFit="1" customWidth="1"/>
    <col min="2563" max="2563" width="12.42578125" bestFit="1" customWidth="1"/>
    <col min="2564" max="2564" width="21.42578125" bestFit="1" customWidth="1"/>
    <col min="2566" max="2566" width="16.85546875" bestFit="1" customWidth="1"/>
    <col min="2567" max="2567" width="17.5703125" bestFit="1" customWidth="1"/>
    <col min="2568" max="2568" width="16.85546875" bestFit="1" customWidth="1"/>
    <col min="2569" max="2569" width="20.42578125" bestFit="1" customWidth="1"/>
    <col min="2817" max="2817" width="17.42578125" bestFit="1" customWidth="1"/>
    <col min="2818" max="2818" width="20.5703125" bestFit="1" customWidth="1"/>
    <col min="2819" max="2819" width="12.42578125" bestFit="1" customWidth="1"/>
    <col min="2820" max="2820" width="21.42578125" bestFit="1" customWidth="1"/>
    <col min="2822" max="2822" width="16.85546875" bestFit="1" customWidth="1"/>
    <col min="2823" max="2823" width="17.5703125" bestFit="1" customWidth="1"/>
    <col min="2824" max="2824" width="16.85546875" bestFit="1" customWidth="1"/>
    <col min="2825" max="2825" width="20.42578125" bestFit="1" customWidth="1"/>
    <col min="3073" max="3073" width="17.42578125" bestFit="1" customWidth="1"/>
    <col min="3074" max="3074" width="20.5703125" bestFit="1" customWidth="1"/>
    <col min="3075" max="3075" width="12.42578125" bestFit="1" customWidth="1"/>
    <col min="3076" max="3076" width="21.42578125" bestFit="1" customWidth="1"/>
    <col min="3078" max="3078" width="16.85546875" bestFit="1" customWidth="1"/>
    <col min="3079" max="3079" width="17.5703125" bestFit="1" customWidth="1"/>
    <col min="3080" max="3080" width="16.85546875" bestFit="1" customWidth="1"/>
    <col min="3081" max="3081" width="20.42578125" bestFit="1" customWidth="1"/>
    <col min="3329" max="3329" width="17.42578125" bestFit="1" customWidth="1"/>
    <col min="3330" max="3330" width="20.5703125" bestFit="1" customWidth="1"/>
    <col min="3331" max="3331" width="12.42578125" bestFit="1" customWidth="1"/>
    <col min="3332" max="3332" width="21.42578125" bestFit="1" customWidth="1"/>
    <col min="3334" max="3334" width="16.85546875" bestFit="1" customWidth="1"/>
    <col min="3335" max="3335" width="17.5703125" bestFit="1" customWidth="1"/>
    <col min="3336" max="3336" width="16.85546875" bestFit="1" customWidth="1"/>
    <col min="3337" max="3337" width="20.42578125" bestFit="1" customWidth="1"/>
    <col min="3585" max="3585" width="17.42578125" bestFit="1" customWidth="1"/>
    <col min="3586" max="3586" width="20.5703125" bestFit="1" customWidth="1"/>
    <col min="3587" max="3587" width="12.42578125" bestFit="1" customWidth="1"/>
    <col min="3588" max="3588" width="21.42578125" bestFit="1" customWidth="1"/>
    <col min="3590" max="3590" width="16.85546875" bestFit="1" customWidth="1"/>
    <col min="3591" max="3591" width="17.5703125" bestFit="1" customWidth="1"/>
    <col min="3592" max="3592" width="16.85546875" bestFit="1" customWidth="1"/>
    <col min="3593" max="3593" width="20.42578125" bestFit="1" customWidth="1"/>
    <col min="3841" max="3841" width="17.42578125" bestFit="1" customWidth="1"/>
    <col min="3842" max="3842" width="20.5703125" bestFit="1" customWidth="1"/>
    <col min="3843" max="3843" width="12.42578125" bestFit="1" customWidth="1"/>
    <col min="3844" max="3844" width="21.42578125" bestFit="1" customWidth="1"/>
    <col min="3846" max="3846" width="16.85546875" bestFit="1" customWidth="1"/>
    <col min="3847" max="3847" width="17.5703125" bestFit="1" customWidth="1"/>
    <col min="3848" max="3848" width="16.85546875" bestFit="1" customWidth="1"/>
    <col min="3849" max="3849" width="20.42578125" bestFit="1" customWidth="1"/>
    <col min="4097" max="4097" width="17.42578125" bestFit="1" customWidth="1"/>
    <col min="4098" max="4098" width="20.5703125" bestFit="1" customWidth="1"/>
    <col min="4099" max="4099" width="12.42578125" bestFit="1" customWidth="1"/>
    <col min="4100" max="4100" width="21.42578125" bestFit="1" customWidth="1"/>
    <col min="4102" max="4102" width="16.85546875" bestFit="1" customWidth="1"/>
    <col min="4103" max="4103" width="17.5703125" bestFit="1" customWidth="1"/>
    <col min="4104" max="4104" width="16.85546875" bestFit="1" customWidth="1"/>
    <col min="4105" max="4105" width="20.42578125" bestFit="1" customWidth="1"/>
    <col min="4353" max="4353" width="17.42578125" bestFit="1" customWidth="1"/>
    <col min="4354" max="4354" width="20.5703125" bestFit="1" customWidth="1"/>
    <col min="4355" max="4355" width="12.42578125" bestFit="1" customWidth="1"/>
    <col min="4356" max="4356" width="21.42578125" bestFit="1" customWidth="1"/>
    <col min="4358" max="4358" width="16.85546875" bestFit="1" customWidth="1"/>
    <col min="4359" max="4359" width="17.5703125" bestFit="1" customWidth="1"/>
    <col min="4360" max="4360" width="16.85546875" bestFit="1" customWidth="1"/>
    <col min="4361" max="4361" width="20.42578125" bestFit="1" customWidth="1"/>
    <col min="4609" max="4609" width="17.42578125" bestFit="1" customWidth="1"/>
    <col min="4610" max="4610" width="20.5703125" bestFit="1" customWidth="1"/>
    <col min="4611" max="4611" width="12.42578125" bestFit="1" customWidth="1"/>
    <col min="4612" max="4612" width="21.42578125" bestFit="1" customWidth="1"/>
    <col min="4614" max="4614" width="16.85546875" bestFit="1" customWidth="1"/>
    <col min="4615" max="4615" width="17.5703125" bestFit="1" customWidth="1"/>
    <col min="4616" max="4616" width="16.85546875" bestFit="1" customWidth="1"/>
    <col min="4617" max="4617" width="20.42578125" bestFit="1" customWidth="1"/>
    <col min="4865" max="4865" width="17.42578125" bestFit="1" customWidth="1"/>
    <col min="4866" max="4866" width="20.5703125" bestFit="1" customWidth="1"/>
    <col min="4867" max="4867" width="12.42578125" bestFit="1" customWidth="1"/>
    <col min="4868" max="4868" width="21.42578125" bestFit="1" customWidth="1"/>
    <col min="4870" max="4870" width="16.85546875" bestFit="1" customWidth="1"/>
    <col min="4871" max="4871" width="17.5703125" bestFit="1" customWidth="1"/>
    <col min="4872" max="4872" width="16.85546875" bestFit="1" customWidth="1"/>
    <col min="4873" max="4873" width="20.42578125" bestFit="1" customWidth="1"/>
    <col min="5121" max="5121" width="17.42578125" bestFit="1" customWidth="1"/>
    <col min="5122" max="5122" width="20.5703125" bestFit="1" customWidth="1"/>
    <col min="5123" max="5123" width="12.42578125" bestFit="1" customWidth="1"/>
    <col min="5124" max="5124" width="21.42578125" bestFit="1" customWidth="1"/>
    <col min="5126" max="5126" width="16.85546875" bestFit="1" customWidth="1"/>
    <col min="5127" max="5127" width="17.5703125" bestFit="1" customWidth="1"/>
    <col min="5128" max="5128" width="16.85546875" bestFit="1" customWidth="1"/>
    <col min="5129" max="5129" width="20.42578125" bestFit="1" customWidth="1"/>
    <col min="5377" max="5377" width="17.42578125" bestFit="1" customWidth="1"/>
    <col min="5378" max="5378" width="20.5703125" bestFit="1" customWidth="1"/>
    <col min="5379" max="5379" width="12.42578125" bestFit="1" customWidth="1"/>
    <col min="5380" max="5380" width="21.42578125" bestFit="1" customWidth="1"/>
    <col min="5382" max="5382" width="16.85546875" bestFit="1" customWidth="1"/>
    <col min="5383" max="5383" width="17.5703125" bestFit="1" customWidth="1"/>
    <col min="5384" max="5384" width="16.85546875" bestFit="1" customWidth="1"/>
    <col min="5385" max="5385" width="20.42578125" bestFit="1" customWidth="1"/>
    <col min="5633" max="5633" width="17.42578125" bestFit="1" customWidth="1"/>
    <col min="5634" max="5634" width="20.5703125" bestFit="1" customWidth="1"/>
    <col min="5635" max="5635" width="12.42578125" bestFit="1" customWidth="1"/>
    <col min="5636" max="5636" width="21.42578125" bestFit="1" customWidth="1"/>
    <col min="5638" max="5638" width="16.85546875" bestFit="1" customWidth="1"/>
    <col min="5639" max="5639" width="17.5703125" bestFit="1" customWidth="1"/>
    <col min="5640" max="5640" width="16.85546875" bestFit="1" customWidth="1"/>
    <col min="5641" max="5641" width="20.42578125" bestFit="1" customWidth="1"/>
    <col min="5889" max="5889" width="17.42578125" bestFit="1" customWidth="1"/>
    <col min="5890" max="5890" width="20.5703125" bestFit="1" customWidth="1"/>
    <col min="5891" max="5891" width="12.42578125" bestFit="1" customWidth="1"/>
    <col min="5892" max="5892" width="21.42578125" bestFit="1" customWidth="1"/>
    <col min="5894" max="5894" width="16.85546875" bestFit="1" customWidth="1"/>
    <col min="5895" max="5895" width="17.5703125" bestFit="1" customWidth="1"/>
    <col min="5896" max="5896" width="16.85546875" bestFit="1" customWidth="1"/>
    <col min="5897" max="5897" width="20.42578125" bestFit="1" customWidth="1"/>
    <col min="6145" max="6145" width="17.42578125" bestFit="1" customWidth="1"/>
    <col min="6146" max="6146" width="20.5703125" bestFit="1" customWidth="1"/>
    <col min="6147" max="6147" width="12.42578125" bestFit="1" customWidth="1"/>
    <col min="6148" max="6148" width="21.42578125" bestFit="1" customWidth="1"/>
    <col min="6150" max="6150" width="16.85546875" bestFit="1" customWidth="1"/>
    <col min="6151" max="6151" width="17.5703125" bestFit="1" customWidth="1"/>
    <col min="6152" max="6152" width="16.85546875" bestFit="1" customWidth="1"/>
    <col min="6153" max="6153" width="20.42578125" bestFit="1" customWidth="1"/>
    <col min="6401" max="6401" width="17.42578125" bestFit="1" customWidth="1"/>
    <col min="6402" max="6402" width="20.5703125" bestFit="1" customWidth="1"/>
    <col min="6403" max="6403" width="12.42578125" bestFit="1" customWidth="1"/>
    <col min="6404" max="6404" width="21.42578125" bestFit="1" customWidth="1"/>
    <col min="6406" max="6406" width="16.85546875" bestFit="1" customWidth="1"/>
    <col min="6407" max="6407" width="17.5703125" bestFit="1" customWidth="1"/>
    <col min="6408" max="6408" width="16.85546875" bestFit="1" customWidth="1"/>
    <col min="6409" max="6409" width="20.42578125" bestFit="1" customWidth="1"/>
    <col min="6657" max="6657" width="17.42578125" bestFit="1" customWidth="1"/>
    <col min="6658" max="6658" width="20.5703125" bestFit="1" customWidth="1"/>
    <col min="6659" max="6659" width="12.42578125" bestFit="1" customWidth="1"/>
    <col min="6660" max="6660" width="21.42578125" bestFit="1" customWidth="1"/>
    <col min="6662" max="6662" width="16.85546875" bestFit="1" customWidth="1"/>
    <col min="6663" max="6663" width="17.5703125" bestFit="1" customWidth="1"/>
    <col min="6664" max="6664" width="16.85546875" bestFit="1" customWidth="1"/>
    <col min="6665" max="6665" width="20.42578125" bestFit="1" customWidth="1"/>
    <col min="6913" max="6913" width="17.42578125" bestFit="1" customWidth="1"/>
    <col min="6914" max="6914" width="20.5703125" bestFit="1" customWidth="1"/>
    <col min="6915" max="6915" width="12.42578125" bestFit="1" customWidth="1"/>
    <col min="6916" max="6916" width="21.42578125" bestFit="1" customWidth="1"/>
    <col min="6918" max="6918" width="16.85546875" bestFit="1" customWidth="1"/>
    <col min="6919" max="6919" width="17.5703125" bestFit="1" customWidth="1"/>
    <col min="6920" max="6920" width="16.85546875" bestFit="1" customWidth="1"/>
    <col min="6921" max="6921" width="20.42578125" bestFit="1" customWidth="1"/>
    <col min="7169" max="7169" width="17.42578125" bestFit="1" customWidth="1"/>
    <col min="7170" max="7170" width="20.5703125" bestFit="1" customWidth="1"/>
    <col min="7171" max="7171" width="12.42578125" bestFit="1" customWidth="1"/>
    <col min="7172" max="7172" width="21.42578125" bestFit="1" customWidth="1"/>
    <col min="7174" max="7174" width="16.85546875" bestFit="1" customWidth="1"/>
    <col min="7175" max="7175" width="17.5703125" bestFit="1" customWidth="1"/>
    <col min="7176" max="7176" width="16.85546875" bestFit="1" customWidth="1"/>
    <col min="7177" max="7177" width="20.42578125" bestFit="1" customWidth="1"/>
    <col min="7425" max="7425" width="17.42578125" bestFit="1" customWidth="1"/>
    <col min="7426" max="7426" width="20.5703125" bestFit="1" customWidth="1"/>
    <col min="7427" max="7427" width="12.42578125" bestFit="1" customWidth="1"/>
    <col min="7428" max="7428" width="21.42578125" bestFit="1" customWidth="1"/>
    <col min="7430" max="7430" width="16.85546875" bestFit="1" customWidth="1"/>
    <col min="7431" max="7431" width="17.5703125" bestFit="1" customWidth="1"/>
    <col min="7432" max="7432" width="16.85546875" bestFit="1" customWidth="1"/>
    <col min="7433" max="7433" width="20.42578125" bestFit="1" customWidth="1"/>
    <col min="7681" max="7681" width="17.42578125" bestFit="1" customWidth="1"/>
    <col min="7682" max="7682" width="20.5703125" bestFit="1" customWidth="1"/>
    <col min="7683" max="7683" width="12.42578125" bestFit="1" customWidth="1"/>
    <col min="7684" max="7684" width="21.42578125" bestFit="1" customWidth="1"/>
    <col min="7686" max="7686" width="16.85546875" bestFit="1" customWidth="1"/>
    <col min="7687" max="7687" width="17.5703125" bestFit="1" customWidth="1"/>
    <col min="7688" max="7688" width="16.85546875" bestFit="1" customWidth="1"/>
    <col min="7689" max="7689" width="20.42578125" bestFit="1" customWidth="1"/>
    <col min="7937" max="7937" width="17.42578125" bestFit="1" customWidth="1"/>
    <col min="7938" max="7938" width="20.5703125" bestFit="1" customWidth="1"/>
    <col min="7939" max="7939" width="12.42578125" bestFit="1" customWidth="1"/>
    <col min="7940" max="7940" width="21.42578125" bestFit="1" customWidth="1"/>
    <col min="7942" max="7942" width="16.85546875" bestFit="1" customWidth="1"/>
    <col min="7943" max="7943" width="17.5703125" bestFit="1" customWidth="1"/>
    <col min="7944" max="7944" width="16.85546875" bestFit="1" customWidth="1"/>
    <col min="7945" max="7945" width="20.42578125" bestFit="1" customWidth="1"/>
    <col min="8193" max="8193" width="17.42578125" bestFit="1" customWidth="1"/>
    <col min="8194" max="8194" width="20.5703125" bestFit="1" customWidth="1"/>
    <col min="8195" max="8195" width="12.42578125" bestFit="1" customWidth="1"/>
    <col min="8196" max="8196" width="21.42578125" bestFit="1" customWidth="1"/>
    <col min="8198" max="8198" width="16.85546875" bestFit="1" customWidth="1"/>
    <col min="8199" max="8199" width="17.5703125" bestFit="1" customWidth="1"/>
    <col min="8200" max="8200" width="16.85546875" bestFit="1" customWidth="1"/>
    <col min="8201" max="8201" width="20.42578125" bestFit="1" customWidth="1"/>
    <col min="8449" max="8449" width="17.42578125" bestFit="1" customWidth="1"/>
    <col min="8450" max="8450" width="20.5703125" bestFit="1" customWidth="1"/>
    <col min="8451" max="8451" width="12.42578125" bestFit="1" customWidth="1"/>
    <col min="8452" max="8452" width="21.42578125" bestFit="1" customWidth="1"/>
    <col min="8454" max="8454" width="16.85546875" bestFit="1" customWidth="1"/>
    <col min="8455" max="8455" width="17.5703125" bestFit="1" customWidth="1"/>
    <col min="8456" max="8456" width="16.85546875" bestFit="1" customWidth="1"/>
    <col min="8457" max="8457" width="20.42578125" bestFit="1" customWidth="1"/>
    <col min="8705" max="8705" width="17.42578125" bestFit="1" customWidth="1"/>
    <col min="8706" max="8706" width="20.5703125" bestFit="1" customWidth="1"/>
    <col min="8707" max="8707" width="12.42578125" bestFit="1" customWidth="1"/>
    <col min="8708" max="8708" width="21.42578125" bestFit="1" customWidth="1"/>
    <col min="8710" max="8710" width="16.85546875" bestFit="1" customWidth="1"/>
    <col min="8711" max="8711" width="17.5703125" bestFit="1" customWidth="1"/>
    <col min="8712" max="8712" width="16.85546875" bestFit="1" customWidth="1"/>
    <col min="8713" max="8713" width="20.42578125" bestFit="1" customWidth="1"/>
    <col min="8961" max="8961" width="17.42578125" bestFit="1" customWidth="1"/>
    <col min="8962" max="8962" width="20.5703125" bestFit="1" customWidth="1"/>
    <col min="8963" max="8963" width="12.42578125" bestFit="1" customWidth="1"/>
    <col min="8964" max="8964" width="21.42578125" bestFit="1" customWidth="1"/>
    <col min="8966" max="8966" width="16.85546875" bestFit="1" customWidth="1"/>
    <col min="8967" max="8967" width="17.5703125" bestFit="1" customWidth="1"/>
    <col min="8968" max="8968" width="16.85546875" bestFit="1" customWidth="1"/>
    <col min="8969" max="8969" width="20.42578125" bestFit="1" customWidth="1"/>
    <col min="9217" max="9217" width="17.42578125" bestFit="1" customWidth="1"/>
    <col min="9218" max="9218" width="20.5703125" bestFit="1" customWidth="1"/>
    <col min="9219" max="9219" width="12.42578125" bestFit="1" customWidth="1"/>
    <col min="9220" max="9220" width="21.42578125" bestFit="1" customWidth="1"/>
    <col min="9222" max="9222" width="16.85546875" bestFit="1" customWidth="1"/>
    <col min="9223" max="9223" width="17.5703125" bestFit="1" customWidth="1"/>
    <col min="9224" max="9224" width="16.85546875" bestFit="1" customWidth="1"/>
    <col min="9225" max="9225" width="20.42578125" bestFit="1" customWidth="1"/>
    <col min="9473" max="9473" width="17.42578125" bestFit="1" customWidth="1"/>
    <col min="9474" max="9474" width="20.5703125" bestFit="1" customWidth="1"/>
    <col min="9475" max="9475" width="12.42578125" bestFit="1" customWidth="1"/>
    <col min="9476" max="9476" width="21.42578125" bestFit="1" customWidth="1"/>
    <col min="9478" max="9478" width="16.85546875" bestFit="1" customWidth="1"/>
    <col min="9479" max="9479" width="17.5703125" bestFit="1" customWidth="1"/>
    <col min="9480" max="9480" width="16.85546875" bestFit="1" customWidth="1"/>
    <col min="9481" max="9481" width="20.42578125" bestFit="1" customWidth="1"/>
    <col min="9729" max="9729" width="17.42578125" bestFit="1" customWidth="1"/>
    <col min="9730" max="9730" width="20.5703125" bestFit="1" customWidth="1"/>
    <col min="9731" max="9731" width="12.42578125" bestFit="1" customWidth="1"/>
    <col min="9732" max="9732" width="21.42578125" bestFit="1" customWidth="1"/>
    <col min="9734" max="9734" width="16.85546875" bestFit="1" customWidth="1"/>
    <col min="9735" max="9735" width="17.5703125" bestFit="1" customWidth="1"/>
    <col min="9736" max="9736" width="16.85546875" bestFit="1" customWidth="1"/>
    <col min="9737" max="9737" width="20.42578125" bestFit="1" customWidth="1"/>
    <col min="9985" max="9985" width="17.42578125" bestFit="1" customWidth="1"/>
    <col min="9986" max="9986" width="20.5703125" bestFit="1" customWidth="1"/>
    <col min="9987" max="9987" width="12.42578125" bestFit="1" customWidth="1"/>
    <col min="9988" max="9988" width="21.42578125" bestFit="1" customWidth="1"/>
    <col min="9990" max="9990" width="16.85546875" bestFit="1" customWidth="1"/>
    <col min="9991" max="9991" width="17.5703125" bestFit="1" customWidth="1"/>
    <col min="9992" max="9992" width="16.85546875" bestFit="1" customWidth="1"/>
    <col min="9993" max="9993" width="20.42578125" bestFit="1" customWidth="1"/>
    <col min="10241" max="10241" width="17.42578125" bestFit="1" customWidth="1"/>
    <col min="10242" max="10242" width="20.5703125" bestFit="1" customWidth="1"/>
    <col min="10243" max="10243" width="12.42578125" bestFit="1" customWidth="1"/>
    <col min="10244" max="10244" width="21.42578125" bestFit="1" customWidth="1"/>
    <col min="10246" max="10246" width="16.85546875" bestFit="1" customWidth="1"/>
    <col min="10247" max="10247" width="17.5703125" bestFit="1" customWidth="1"/>
    <col min="10248" max="10248" width="16.85546875" bestFit="1" customWidth="1"/>
    <col min="10249" max="10249" width="20.42578125" bestFit="1" customWidth="1"/>
    <col min="10497" max="10497" width="17.42578125" bestFit="1" customWidth="1"/>
    <col min="10498" max="10498" width="20.5703125" bestFit="1" customWidth="1"/>
    <col min="10499" max="10499" width="12.42578125" bestFit="1" customWidth="1"/>
    <col min="10500" max="10500" width="21.42578125" bestFit="1" customWidth="1"/>
    <col min="10502" max="10502" width="16.85546875" bestFit="1" customWidth="1"/>
    <col min="10503" max="10503" width="17.5703125" bestFit="1" customWidth="1"/>
    <col min="10504" max="10504" width="16.85546875" bestFit="1" customWidth="1"/>
    <col min="10505" max="10505" width="20.42578125" bestFit="1" customWidth="1"/>
    <col min="10753" max="10753" width="17.42578125" bestFit="1" customWidth="1"/>
    <col min="10754" max="10754" width="20.5703125" bestFit="1" customWidth="1"/>
    <col min="10755" max="10755" width="12.42578125" bestFit="1" customWidth="1"/>
    <col min="10756" max="10756" width="21.42578125" bestFit="1" customWidth="1"/>
    <col min="10758" max="10758" width="16.85546875" bestFit="1" customWidth="1"/>
    <col min="10759" max="10759" width="17.5703125" bestFit="1" customWidth="1"/>
    <col min="10760" max="10760" width="16.85546875" bestFit="1" customWidth="1"/>
    <col min="10761" max="10761" width="20.42578125" bestFit="1" customWidth="1"/>
    <col min="11009" max="11009" width="17.42578125" bestFit="1" customWidth="1"/>
    <col min="11010" max="11010" width="20.5703125" bestFit="1" customWidth="1"/>
    <col min="11011" max="11011" width="12.42578125" bestFit="1" customWidth="1"/>
    <col min="11012" max="11012" width="21.42578125" bestFit="1" customWidth="1"/>
    <col min="11014" max="11014" width="16.85546875" bestFit="1" customWidth="1"/>
    <col min="11015" max="11015" width="17.5703125" bestFit="1" customWidth="1"/>
    <col min="11016" max="11016" width="16.85546875" bestFit="1" customWidth="1"/>
    <col min="11017" max="11017" width="20.42578125" bestFit="1" customWidth="1"/>
    <col min="11265" max="11265" width="17.42578125" bestFit="1" customWidth="1"/>
    <col min="11266" max="11266" width="20.5703125" bestFit="1" customWidth="1"/>
    <col min="11267" max="11267" width="12.42578125" bestFit="1" customWidth="1"/>
    <col min="11268" max="11268" width="21.42578125" bestFit="1" customWidth="1"/>
    <col min="11270" max="11270" width="16.85546875" bestFit="1" customWidth="1"/>
    <col min="11271" max="11271" width="17.5703125" bestFit="1" customWidth="1"/>
    <col min="11272" max="11272" width="16.85546875" bestFit="1" customWidth="1"/>
    <col min="11273" max="11273" width="20.42578125" bestFit="1" customWidth="1"/>
    <col min="11521" max="11521" width="17.42578125" bestFit="1" customWidth="1"/>
    <col min="11522" max="11522" width="20.5703125" bestFit="1" customWidth="1"/>
    <col min="11523" max="11523" width="12.42578125" bestFit="1" customWidth="1"/>
    <col min="11524" max="11524" width="21.42578125" bestFit="1" customWidth="1"/>
    <col min="11526" max="11526" width="16.85546875" bestFit="1" customWidth="1"/>
    <col min="11527" max="11527" width="17.5703125" bestFit="1" customWidth="1"/>
    <col min="11528" max="11528" width="16.85546875" bestFit="1" customWidth="1"/>
    <col min="11529" max="11529" width="20.42578125" bestFit="1" customWidth="1"/>
    <col min="11777" max="11777" width="17.42578125" bestFit="1" customWidth="1"/>
    <col min="11778" max="11778" width="20.5703125" bestFit="1" customWidth="1"/>
    <col min="11779" max="11779" width="12.42578125" bestFit="1" customWidth="1"/>
    <col min="11780" max="11780" width="21.42578125" bestFit="1" customWidth="1"/>
    <col min="11782" max="11782" width="16.85546875" bestFit="1" customWidth="1"/>
    <col min="11783" max="11783" width="17.5703125" bestFit="1" customWidth="1"/>
    <col min="11784" max="11784" width="16.85546875" bestFit="1" customWidth="1"/>
    <col min="11785" max="11785" width="20.42578125" bestFit="1" customWidth="1"/>
    <col min="12033" max="12033" width="17.42578125" bestFit="1" customWidth="1"/>
    <col min="12034" max="12034" width="20.5703125" bestFit="1" customWidth="1"/>
    <col min="12035" max="12035" width="12.42578125" bestFit="1" customWidth="1"/>
    <col min="12036" max="12036" width="21.42578125" bestFit="1" customWidth="1"/>
    <col min="12038" max="12038" width="16.85546875" bestFit="1" customWidth="1"/>
    <col min="12039" max="12039" width="17.5703125" bestFit="1" customWidth="1"/>
    <col min="12040" max="12040" width="16.85546875" bestFit="1" customWidth="1"/>
    <col min="12041" max="12041" width="20.42578125" bestFit="1" customWidth="1"/>
    <col min="12289" max="12289" width="17.42578125" bestFit="1" customWidth="1"/>
    <col min="12290" max="12290" width="20.5703125" bestFit="1" customWidth="1"/>
    <col min="12291" max="12291" width="12.42578125" bestFit="1" customWidth="1"/>
    <col min="12292" max="12292" width="21.42578125" bestFit="1" customWidth="1"/>
    <col min="12294" max="12294" width="16.85546875" bestFit="1" customWidth="1"/>
    <col min="12295" max="12295" width="17.5703125" bestFit="1" customWidth="1"/>
    <col min="12296" max="12296" width="16.85546875" bestFit="1" customWidth="1"/>
    <col min="12297" max="12297" width="20.42578125" bestFit="1" customWidth="1"/>
    <col min="12545" max="12545" width="17.42578125" bestFit="1" customWidth="1"/>
    <col min="12546" max="12546" width="20.5703125" bestFit="1" customWidth="1"/>
    <col min="12547" max="12547" width="12.42578125" bestFit="1" customWidth="1"/>
    <col min="12548" max="12548" width="21.42578125" bestFit="1" customWidth="1"/>
    <col min="12550" max="12550" width="16.85546875" bestFit="1" customWidth="1"/>
    <col min="12551" max="12551" width="17.5703125" bestFit="1" customWidth="1"/>
    <col min="12552" max="12552" width="16.85546875" bestFit="1" customWidth="1"/>
    <col min="12553" max="12553" width="20.42578125" bestFit="1" customWidth="1"/>
    <col min="12801" max="12801" width="17.42578125" bestFit="1" customWidth="1"/>
    <col min="12802" max="12802" width="20.5703125" bestFit="1" customWidth="1"/>
    <col min="12803" max="12803" width="12.42578125" bestFit="1" customWidth="1"/>
    <col min="12804" max="12804" width="21.42578125" bestFit="1" customWidth="1"/>
    <col min="12806" max="12806" width="16.85546875" bestFit="1" customWidth="1"/>
    <col min="12807" max="12807" width="17.5703125" bestFit="1" customWidth="1"/>
    <col min="12808" max="12808" width="16.85546875" bestFit="1" customWidth="1"/>
    <col min="12809" max="12809" width="20.42578125" bestFit="1" customWidth="1"/>
    <col min="13057" max="13057" width="17.42578125" bestFit="1" customWidth="1"/>
    <col min="13058" max="13058" width="20.5703125" bestFit="1" customWidth="1"/>
    <col min="13059" max="13059" width="12.42578125" bestFit="1" customWidth="1"/>
    <col min="13060" max="13060" width="21.42578125" bestFit="1" customWidth="1"/>
    <col min="13062" max="13062" width="16.85546875" bestFit="1" customWidth="1"/>
    <col min="13063" max="13063" width="17.5703125" bestFit="1" customWidth="1"/>
    <col min="13064" max="13064" width="16.85546875" bestFit="1" customWidth="1"/>
    <col min="13065" max="13065" width="20.42578125" bestFit="1" customWidth="1"/>
    <col min="13313" max="13313" width="17.42578125" bestFit="1" customWidth="1"/>
    <col min="13314" max="13314" width="20.5703125" bestFit="1" customWidth="1"/>
    <col min="13315" max="13315" width="12.42578125" bestFit="1" customWidth="1"/>
    <col min="13316" max="13316" width="21.42578125" bestFit="1" customWidth="1"/>
    <col min="13318" max="13318" width="16.85546875" bestFit="1" customWidth="1"/>
    <col min="13319" max="13319" width="17.5703125" bestFit="1" customWidth="1"/>
    <col min="13320" max="13320" width="16.85546875" bestFit="1" customWidth="1"/>
    <col min="13321" max="13321" width="20.42578125" bestFit="1" customWidth="1"/>
    <col min="13569" max="13569" width="17.42578125" bestFit="1" customWidth="1"/>
    <col min="13570" max="13570" width="20.5703125" bestFit="1" customWidth="1"/>
    <col min="13571" max="13571" width="12.42578125" bestFit="1" customWidth="1"/>
    <col min="13572" max="13572" width="21.42578125" bestFit="1" customWidth="1"/>
    <col min="13574" max="13574" width="16.85546875" bestFit="1" customWidth="1"/>
    <col min="13575" max="13575" width="17.5703125" bestFit="1" customWidth="1"/>
    <col min="13576" max="13576" width="16.85546875" bestFit="1" customWidth="1"/>
    <col min="13577" max="13577" width="20.42578125" bestFit="1" customWidth="1"/>
    <col min="13825" max="13825" width="17.42578125" bestFit="1" customWidth="1"/>
    <col min="13826" max="13826" width="20.5703125" bestFit="1" customWidth="1"/>
    <col min="13827" max="13827" width="12.42578125" bestFit="1" customWidth="1"/>
    <col min="13828" max="13828" width="21.42578125" bestFit="1" customWidth="1"/>
    <col min="13830" max="13830" width="16.85546875" bestFit="1" customWidth="1"/>
    <col min="13831" max="13831" width="17.5703125" bestFit="1" customWidth="1"/>
    <col min="13832" max="13832" width="16.85546875" bestFit="1" customWidth="1"/>
    <col min="13833" max="13833" width="20.42578125" bestFit="1" customWidth="1"/>
    <col min="14081" max="14081" width="17.42578125" bestFit="1" customWidth="1"/>
    <col min="14082" max="14082" width="20.5703125" bestFit="1" customWidth="1"/>
    <col min="14083" max="14083" width="12.42578125" bestFit="1" customWidth="1"/>
    <col min="14084" max="14084" width="21.42578125" bestFit="1" customWidth="1"/>
    <col min="14086" max="14086" width="16.85546875" bestFit="1" customWidth="1"/>
    <col min="14087" max="14087" width="17.5703125" bestFit="1" customWidth="1"/>
    <col min="14088" max="14088" width="16.85546875" bestFit="1" customWidth="1"/>
    <col min="14089" max="14089" width="20.42578125" bestFit="1" customWidth="1"/>
    <col min="14337" max="14337" width="17.42578125" bestFit="1" customWidth="1"/>
    <col min="14338" max="14338" width="20.5703125" bestFit="1" customWidth="1"/>
    <col min="14339" max="14339" width="12.42578125" bestFit="1" customWidth="1"/>
    <col min="14340" max="14340" width="21.42578125" bestFit="1" customWidth="1"/>
    <col min="14342" max="14342" width="16.85546875" bestFit="1" customWidth="1"/>
    <col min="14343" max="14343" width="17.5703125" bestFit="1" customWidth="1"/>
    <col min="14344" max="14344" width="16.85546875" bestFit="1" customWidth="1"/>
    <col min="14345" max="14345" width="20.42578125" bestFit="1" customWidth="1"/>
    <col min="14593" max="14593" width="17.42578125" bestFit="1" customWidth="1"/>
    <col min="14594" max="14594" width="20.5703125" bestFit="1" customWidth="1"/>
    <col min="14595" max="14595" width="12.42578125" bestFit="1" customWidth="1"/>
    <col min="14596" max="14596" width="21.42578125" bestFit="1" customWidth="1"/>
    <col min="14598" max="14598" width="16.85546875" bestFit="1" customWidth="1"/>
    <col min="14599" max="14599" width="17.5703125" bestFit="1" customWidth="1"/>
    <col min="14600" max="14600" width="16.85546875" bestFit="1" customWidth="1"/>
    <col min="14601" max="14601" width="20.42578125" bestFit="1" customWidth="1"/>
    <col min="14849" max="14849" width="17.42578125" bestFit="1" customWidth="1"/>
    <col min="14850" max="14850" width="20.5703125" bestFit="1" customWidth="1"/>
    <col min="14851" max="14851" width="12.42578125" bestFit="1" customWidth="1"/>
    <col min="14852" max="14852" width="21.42578125" bestFit="1" customWidth="1"/>
    <col min="14854" max="14854" width="16.85546875" bestFit="1" customWidth="1"/>
    <col min="14855" max="14855" width="17.5703125" bestFit="1" customWidth="1"/>
    <col min="14856" max="14856" width="16.85546875" bestFit="1" customWidth="1"/>
    <col min="14857" max="14857" width="20.42578125" bestFit="1" customWidth="1"/>
    <col min="15105" max="15105" width="17.42578125" bestFit="1" customWidth="1"/>
    <col min="15106" max="15106" width="20.5703125" bestFit="1" customWidth="1"/>
    <col min="15107" max="15107" width="12.42578125" bestFit="1" customWidth="1"/>
    <col min="15108" max="15108" width="21.42578125" bestFit="1" customWidth="1"/>
    <col min="15110" max="15110" width="16.85546875" bestFit="1" customWidth="1"/>
    <col min="15111" max="15111" width="17.5703125" bestFit="1" customWidth="1"/>
    <col min="15112" max="15112" width="16.85546875" bestFit="1" customWidth="1"/>
    <col min="15113" max="15113" width="20.42578125" bestFit="1" customWidth="1"/>
    <col min="15361" max="15361" width="17.42578125" bestFit="1" customWidth="1"/>
    <col min="15362" max="15362" width="20.5703125" bestFit="1" customWidth="1"/>
    <col min="15363" max="15363" width="12.42578125" bestFit="1" customWidth="1"/>
    <col min="15364" max="15364" width="21.42578125" bestFit="1" customWidth="1"/>
    <col min="15366" max="15366" width="16.85546875" bestFit="1" customWidth="1"/>
    <col min="15367" max="15367" width="17.5703125" bestFit="1" customWidth="1"/>
    <col min="15368" max="15368" width="16.85546875" bestFit="1" customWidth="1"/>
    <col min="15369" max="15369" width="20.42578125" bestFit="1" customWidth="1"/>
    <col min="15617" max="15617" width="17.42578125" bestFit="1" customWidth="1"/>
    <col min="15618" max="15618" width="20.5703125" bestFit="1" customWidth="1"/>
    <col min="15619" max="15619" width="12.42578125" bestFit="1" customWidth="1"/>
    <col min="15620" max="15620" width="21.42578125" bestFit="1" customWidth="1"/>
    <col min="15622" max="15622" width="16.85546875" bestFit="1" customWidth="1"/>
    <col min="15623" max="15623" width="17.5703125" bestFit="1" customWidth="1"/>
    <col min="15624" max="15624" width="16.85546875" bestFit="1" customWidth="1"/>
    <col min="15625" max="15625" width="20.42578125" bestFit="1" customWidth="1"/>
    <col min="15873" max="15873" width="17.42578125" bestFit="1" customWidth="1"/>
    <col min="15874" max="15874" width="20.5703125" bestFit="1" customWidth="1"/>
    <col min="15875" max="15875" width="12.42578125" bestFit="1" customWidth="1"/>
    <col min="15876" max="15876" width="21.42578125" bestFit="1" customWidth="1"/>
    <col min="15878" max="15878" width="16.85546875" bestFit="1" customWidth="1"/>
    <col min="15879" max="15879" width="17.5703125" bestFit="1" customWidth="1"/>
    <col min="15880" max="15880" width="16.85546875" bestFit="1" customWidth="1"/>
    <col min="15881" max="15881" width="20.42578125" bestFit="1" customWidth="1"/>
    <col min="16129" max="16129" width="17.42578125" bestFit="1" customWidth="1"/>
    <col min="16130" max="16130" width="20.5703125" bestFit="1" customWidth="1"/>
    <col min="16131" max="16131" width="12.42578125" bestFit="1" customWidth="1"/>
    <col min="16132" max="16132" width="21.42578125" bestFit="1" customWidth="1"/>
    <col min="16134" max="16134" width="16.85546875" bestFit="1" customWidth="1"/>
    <col min="16135" max="16135" width="17.5703125" bestFit="1" customWidth="1"/>
    <col min="16136" max="16136" width="16.85546875" bestFit="1" customWidth="1"/>
    <col min="16137" max="16137" width="20.42578125" bestFit="1" customWidth="1"/>
  </cols>
  <sheetData>
    <row r="1" spans="1:11" x14ac:dyDescent="0.25">
      <c r="A1" s="49" t="s">
        <v>203</v>
      </c>
    </row>
    <row r="2" spans="1:11" ht="60" x14ac:dyDescent="0.25">
      <c r="A2" s="55" t="s">
        <v>192</v>
      </c>
      <c r="B2" s="55" t="s">
        <v>193</v>
      </c>
      <c r="C2" s="206" t="s">
        <v>204</v>
      </c>
      <c r="D2" s="206"/>
      <c r="E2" s="206"/>
      <c r="F2" s="206"/>
      <c r="G2" s="206"/>
      <c r="H2" s="206"/>
      <c r="I2" s="206"/>
      <c r="J2" s="1" t="s">
        <v>223</v>
      </c>
      <c r="K2" s="1" t="s">
        <v>224</v>
      </c>
    </row>
    <row r="3" spans="1:11" x14ac:dyDescent="0.25">
      <c r="A3" s="55"/>
      <c r="B3" s="55"/>
      <c r="C3" s="55" t="s">
        <v>195</v>
      </c>
      <c r="D3" s="55" t="s">
        <v>196</v>
      </c>
      <c r="E3" s="55" t="s">
        <v>197</v>
      </c>
      <c r="F3" s="55" t="s">
        <v>198</v>
      </c>
      <c r="G3" s="55" t="s">
        <v>199</v>
      </c>
      <c r="H3" s="55" t="s">
        <v>200</v>
      </c>
      <c r="I3" s="55" t="s">
        <v>201</v>
      </c>
    </row>
    <row r="4" spans="1:11" x14ac:dyDescent="0.25">
      <c r="A4" s="70">
        <v>22</v>
      </c>
      <c r="B4" s="71" t="s">
        <v>177</v>
      </c>
      <c r="C4" s="55">
        <v>1</v>
      </c>
      <c r="D4" s="55"/>
      <c r="E4" s="55"/>
      <c r="F4" s="55"/>
      <c r="G4" s="55"/>
      <c r="H4" s="55"/>
      <c r="I4" s="55"/>
    </row>
    <row r="5" spans="1:11" x14ac:dyDescent="0.25">
      <c r="A5" s="70"/>
      <c r="B5" s="78" t="s">
        <v>205</v>
      </c>
      <c r="C5" s="55">
        <v>1</v>
      </c>
      <c r="D5" s="55"/>
      <c r="E5" s="55"/>
      <c r="F5" s="55"/>
      <c r="G5" s="55"/>
      <c r="H5" s="55"/>
      <c r="I5" s="55"/>
    </row>
    <row r="6" spans="1:11" x14ac:dyDescent="0.25">
      <c r="A6" s="70"/>
      <c r="B6" s="71" t="s">
        <v>179</v>
      </c>
      <c r="C6" s="55">
        <v>1</v>
      </c>
      <c r="D6" s="55"/>
      <c r="E6" s="55"/>
      <c r="F6" s="55"/>
      <c r="G6" s="55"/>
      <c r="H6" s="55"/>
      <c r="I6" s="55"/>
    </row>
    <row r="7" spans="1:11" x14ac:dyDescent="0.25">
      <c r="A7" s="70"/>
      <c r="B7" s="71" t="s">
        <v>180</v>
      </c>
      <c r="C7" s="55">
        <v>1</v>
      </c>
      <c r="D7" s="55"/>
      <c r="E7" s="55"/>
      <c r="F7" s="55"/>
      <c r="G7" s="55"/>
      <c r="H7" s="55"/>
      <c r="I7" s="55"/>
    </row>
    <row r="8" spans="1:11" x14ac:dyDescent="0.25">
      <c r="A8" s="70"/>
      <c r="B8" s="71" t="s">
        <v>184</v>
      </c>
      <c r="C8" s="55">
        <v>1</v>
      </c>
      <c r="D8" s="55"/>
      <c r="E8" s="55"/>
      <c r="F8" s="55"/>
      <c r="G8" s="55"/>
      <c r="H8" s="55"/>
      <c r="I8" s="55"/>
    </row>
    <row r="9" spans="1:11" x14ac:dyDescent="0.25">
      <c r="A9" s="70"/>
      <c r="B9" s="71" t="s">
        <v>185</v>
      </c>
      <c r="C9" s="55">
        <v>1</v>
      </c>
      <c r="D9" s="55"/>
      <c r="E9" s="55"/>
      <c r="F9" s="55"/>
      <c r="G9" s="55"/>
      <c r="H9" s="55"/>
      <c r="I9" s="55"/>
    </row>
    <row r="10" spans="1:11" x14ac:dyDescent="0.25">
      <c r="A10" s="70"/>
      <c r="B10" s="71" t="s">
        <v>186</v>
      </c>
      <c r="C10" s="55">
        <v>1</v>
      </c>
      <c r="D10" s="55"/>
      <c r="E10" s="55"/>
      <c r="F10" s="55"/>
      <c r="G10" s="55"/>
      <c r="H10" s="55"/>
      <c r="I10" s="55"/>
    </row>
    <row r="11" spans="1:11" x14ac:dyDescent="0.25">
      <c r="A11" s="70"/>
      <c r="B11" s="71" t="s">
        <v>187</v>
      </c>
      <c r="C11" s="55">
        <v>1</v>
      </c>
      <c r="D11" s="55"/>
      <c r="E11" s="55"/>
      <c r="F11" s="55"/>
      <c r="G11" s="55"/>
      <c r="H11" s="55"/>
      <c r="I11" s="55"/>
    </row>
    <row r="12" spans="1:11" x14ac:dyDescent="0.25">
      <c r="A12" s="72">
        <v>24</v>
      </c>
      <c r="B12" s="73" t="s">
        <v>177</v>
      </c>
      <c r="C12" s="55">
        <v>1</v>
      </c>
      <c r="D12" s="55"/>
      <c r="E12" s="55"/>
      <c r="F12" s="55"/>
      <c r="G12" s="55"/>
      <c r="H12" s="55"/>
      <c r="I12" s="55"/>
    </row>
    <row r="13" spans="1:11" x14ac:dyDescent="0.25">
      <c r="A13" s="72"/>
      <c r="B13" s="73" t="s">
        <v>205</v>
      </c>
      <c r="C13" s="55">
        <v>1</v>
      </c>
      <c r="D13" s="55"/>
      <c r="E13" s="55"/>
      <c r="F13" s="55"/>
      <c r="G13" s="55"/>
      <c r="H13" s="55"/>
      <c r="I13" s="55"/>
    </row>
    <row r="14" spans="1:11" x14ac:dyDescent="0.25">
      <c r="A14" s="72"/>
      <c r="B14" s="73" t="s">
        <v>179</v>
      </c>
      <c r="C14" s="55">
        <v>1</v>
      </c>
      <c r="D14" s="55"/>
      <c r="E14" s="55"/>
      <c r="F14" s="55"/>
      <c r="G14" s="55"/>
      <c r="H14" s="55"/>
      <c r="I14" s="55"/>
    </row>
    <row r="15" spans="1:11" x14ac:dyDescent="0.25">
      <c r="A15" s="72"/>
      <c r="B15" s="73" t="s">
        <v>180</v>
      </c>
      <c r="C15" s="55">
        <v>1</v>
      </c>
      <c r="D15" s="55"/>
      <c r="E15" s="55"/>
      <c r="F15" s="55"/>
      <c r="G15" s="55"/>
      <c r="H15" s="55"/>
      <c r="I15" s="55"/>
    </row>
    <row r="16" spans="1:11" x14ac:dyDescent="0.25">
      <c r="A16" s="72"/>
      <c r="B16" s="73" t="s">
        <v>184</v>
      </c>
      <c r="C16" s="55">
        <v>0.5</v>
      </c>
      <c r="D16" s="55"/>
      <c r="E16" s="55"/>
      <c r="F16" s="55">
        <v>0.25</v>
      </c>
      <c r="G16" s="55">
        <v>0.25</v>
      </c>
      <c r="H16" s="55"/>
      <c r="I16" s="55"/>
    </row>
    <row r="17" spans="1:11" x14ac:dyDescent="0.25">
      <c r="A17" s="72"/>
      <c r="B17" s="73" t="s">
        <v>185</v>
      </c>
      <c r="C17" s="55">
        <v>0.5</v>
      </c>
      <c r="D17" s="55"/>
      <c r="E17" s="55"/>
      <c r="F17" s="55">
        <v>0.25</v>
      </c>
      <c r="G17" s="55">
        <v>0.25</v>
      </c>
      <c r="H17" s="55"/>
      <c r="I17" s="55"/>
    </row>
    <row r="18" spans="1:11" x14ac:dyDescent="0.25">
      <c r="A18" s="72"/>
      <c r="B18" s="73" t="s">
        <v>186</v>
      </c>
      <c r="C18" s="55">
        <v>0.5</v>
      </c>
      <c r="D18" s="55"/>
      <c r="E18" s="55"/>
      <c r="F18" s="55">
        <v>0.25</v>
      </c>
      <c r="G18" s="55">
        <v>0.25</v>
      </c>
      <c r="H18" s="55"/>
      <c r="I18" s="55"/>
    </row>
    <row r="19" spans="1:11" x14ac:dyDescent="0.25">
      <c r="A19" s="72"/>
      <c r="B19" s="73" t="s">
        <v>187</v>
      </c>
      <c r="C19" s="55">
        <v>0.5</v>
      </c>
      <c r="D19" s="55"/>
      <c r="E19" s="55"/>
      <c r="F19" s="55">
        <v>0.25</v>
      </c>
      <c r="G19" s="55">
        <v>0.25</v>
      </c>
      <c r="H19" s="55"/>
      <c r="I19" s="55"/>
    </row>
    <row r="20" spans="1:11" x14ac:dyDescent="0.25">
      <c r="A20" s="74">
        <v>25</v>
      </c>
      <c r="B20" s="75" t="s">
        <v>177</v>
      </c>
      <c r="C20" s="55">
        <v>1</v>
      </c>
      <c r="D20" s="55"/>
      <c r="E20" s="55"/>
      <c r="F20" s="55"/>
      <c r="G20" s="55"/>
      <c r="H20" s="55"/>
      <c r="I20" s="55"/>
    </row>
    <row r="21" spans="1:11" x14ac:dyDescent="0.25">
      <c r="A21" s="74"/>
      <c r="B21" s="75" t="s">
        <v>205</v>
      </c>
      <c r="C21" s="55">
        <v>1</v>
      </c>
      <c r="D21" s="55"/>
      <c r="E21" s="55"/>
      <c r="F21" s="55"/>
      <c r="G21" s="55"/>
      <c r="H21" s="55"/>
      <c r="I21" s="55"/>
    </row>
    <row r="22" spans="1:11" x14ac:dyDescent="0.25">
      <c r="A22" s="74"/>
      <c r="B22" s="75" t="s">
        <v>179</v>
      </c>
      <c r="C22" s="55">
        <v>1</v>
      </c>
      <c r="D22" s="55"/>
      <c r="E22" s="55"/>
      <c r="F22" s="55"/>
      <c r="G22" s="55"/>
      <c r="H22" s="55"/>
      <c r="I22" s="55"/>
    </row>
    <row r="23" spans="1:11" x14ac:dyDescent="0.25">
      <c r="A23" s="74"/>
      <c r="B23" s="75" t="s">
        <v>180</v>
      </c>
      <c r="C23" s="55">
        <v>1</v>
      </c>
      <c r="D23" s="55"/>
      <c r="E23" s="55"/>
      <c r="F23" s="55"/>
      <c r="G23" s="55"/>
      <c r="H23" s="55"/>
      <c r="I23" s="55"/>
    </row>
    <row r="24" spans="1:11" x14ac:dyDescent="0.25">
      <c r="A24" s="74"/>
      <c r="B24" s="75" t="s">
        <v>181</v>
      </c>
      <c r="C24" s="55"/>
      <c r="D24" s="55"/>
      <c r="E24" s="55">
        <v>1</v>
      </c>
      <c r="F24" s="55"/>
      <c r="G24" s="55"/>
      <c r="H24" s="55"/>
      <c r="I24" s="55"/>
    </row>
    <row r="25" spans="1:11" x14ac:dyDescent="0.25">
      <c r="A25" s="74"/>
      <c r="B25" s="75" t="s">
        <v>184</v>
      </c>
      <c r="C25" s="55">
        <v>0.5</v>
      </c>
      <c r="D25" s="55"/>
      <c r="E25" s="55"/>
      <c r="F25" s="55">
        <v>0.25</v>
      </c>
      <c r="G25" s="55">
        <v>0.25</v>
      </c>
      <c r="H25" s="55"/>
      <c r="I25" s="55"/>
    </row>
    <row r="26" spans="1:11" x14ac:dyDescent="0.25">
      <c r="A26" s="74"/>
      <c r="B26" s="75" t="s">
        <v>185</v>
      </c>
      <c r="C26" s="55">
        <v>0.5</v>
      </c>
      <c r="D26" s="55"/>
      <c r="E26" s="55"/>
      <c r="F26" s="55">
        <v>0.25</v>
      </c>
      <c r="G26" s="55">
        <v>0.25</v>
      </c>
      <c r="H26" s="55"/>
      <c r="I26" s="55"/>
    </row>
    <row r="27" spans="1:11" x14ac:dyDescent="0.25">
      <c r="A27" s="74"/>
      <c r="B27" s="75" t="s">
        <v>186</v>
      </c>
      <c r="C27" s="55">
        <v>0.5</v>
      </c>
      <c r="D27" s="55"/>
      <c r="E27" s="55"/>
      <c r="F27" s="55">
        <v>0.25</v>
      </c>
      <c r="G27" s="55">
        <v>0.25</v>
      </c>
      <c r="H27" s="55"/>
      <c r="I27" s="55"/>
    </row>
    <row r="28" spans="1:11" x14ac:dyDescent="0.25">
      <c r="A28" s="74"/>
      <c r="B28" s="75" t="s">
        <v>187</v>
      </c>
      <c r="C28" s="55">
        <v>0.5</v>
      </c>
      <c r="D28" s="55"/>
      <c r="E28" s="55"/>
      <c r="F28" s="55">
        <v>0.25</v>
      </c>
      <c r="G28" s="55">
        <v>0.25</v>
      </c>
      <c r="H28" s="55"/>
      <c r="I28" s="55"/>
    </row>
    <row r="29" spans="1:11" x14ac:dyDescent="0.25">
      <c r="A29" s="76" t="s">
        <v>202</v>
      </c>
      <c r="B29" s="77" t="s">
        <v>114</v>
      </c>
      <c r="C29" s="55">
        <v>0.99</v>
      </c>
      <c r="D29" s="55"/>
      <c r="E29" s="55">
        <v>0.01</v>
      </c>
      <c r="F29" s="55"/>
      <c r="G29" s="55"/>
      <c r="H29" s="55"/>
      <c r="I29" s="55"/>
      <c r="J29">
        <v>45</v>
      </c>
      <c r="K29">
        <v>1.17</v>
      </c>
    </row>
    <row r="30" spans="1:11" x14ac:dyDescent="0.25">
      <c r="A30" s="77"/>
      <c r="B30" s="77" t="s">
        <v>116</v>
      </c>
      <c r="C30" s="55">
        <v>0.97</v>
      </c>
      <c r="D30" s="55"/>
      <c r="E30" s="55">
        <v>0.03</v>
      </c>
      <c r="F30" s="55"/>
      <c r="G30" s="55"/>
      <c r="H30" s="55"/>
      <c r="I30" s="55"/>
      <c r="J30">
        <v>30</v>
      </c>
      <c r="K30">
        <v>1.37</v>
      </c>
    </row>
    <row r="31" spans="1:11" x14ac:dyDescent="0.25">
      <c r="A31" s="77"/>
      <c r="B31" s="77" t="s">
        <v>78</v>
      </c>
      <c r="C31" s="55"/>
      <c r="D31" s="55">
        <v>1</v>
      </c>
      <c r="E31" s="55"/>
      <c r="F31" s="55"/>
      <c r="G31" s="55"/>
      <c r="H31" s="55"/>
      <c r="I31" s="55"/>
    </row>
    <row r="32" spans="1:11" x14ac:dyDescent="0.25">
      <c r="A32" s="77"/>
      <c r="B32" s="77" t="s">
        <v>188</v>
      </c>
      <c r="C32" s="55"/>
      <c r="D32" s="55"/>
      <c r="E32" s="55"/>
      <c r="F32" s="55"/>
      <c r="G32" s="55"/>
      <c r="H32" s="55">
        <v>1</v>
      </c>
      <c r="I32" s="55"/>
      <c r="J32">
        <v>1.8</v>
      </c>
      <c r="K32">
        <v>1.1000000000000001</v>
      </c>
    </row>
    <row r="33" spans="1:11" x14ac:dyDescent="0.25">
      <c r="A33" s="77"/>
      <c r="B33" s="77" t="s">
        <v>189</v>
      </c>
      <c r="C33" s="55"/>
      <c r="D33" s="55"/>
      <c r="E33" s="55"/>
      <c r="F33" s="55"/>
      <c r="G33" s="55"/>
      <c r="H33" s="55">
        <v>1</v>
      </c>
      <c r="I33" s="55"/>
      <c r="J33">
        <v>2.1</v>
      </c>
      <c r="K33">
        <v>0.82</v>
      </c>
    </row>
    <row r="34" spans="1:11" x14ac:dyDescent="0.25">
      <c r="A34" s="77"/>
      <c r="B34" s="77" t="s">
        <v>190</v>
      </c>
      <c r="C34" s="55"/>
      <c r="D34" s="55"/>
      <c r="E34" s="55"/>
      <c r="F34" s="55"/>
      <c r="G34" s="55"/>
      <c r="H34" s="55">
        <v>0.35</v>
      </c>
      <c r="I34" s="55">
        <v>0.65</v>
      </c>
      <c r="J34">
        <v>1.8</v>
      </c>
      <c r="K34">
        <v>0.82</v>
      </c>
    </row>
    <row r="35" spans="1:11" x14ac:dyDescent="0.25">
      <c r="A35" s="77"/>
      <c r="B35" s="77" t="s">
        <v>90</v>
      </c>
      <c r="C35" s="55"/>
      <c r="D35" s="55"/>
      <c r="E35" s="55"/>
      <c r="F35" s="55"/>
      <c r="G35" s="55"/>
      <c r="H35" s="55">
        <v>0.15</v>
      </c>
      <c r="I35" s="55">
        <v>0.85</v>
      </c>
      <c r="J35">
        <v>2.5</v>
      </c>
      <c r="K35">
        <v>0.83</v>
      </c>
    </row>
    <row r="36" spans="1:11" x14ac:dyDescent="0.25">
      <c r="A36" s="77"/>
      <c r="B36" s="77" t="s">
        <v>75</v>
      </c>
      <c r="C36" s="55"/>
      <c r="D36" s="55">
        <v>1</v>
      </c>
      <c r="E36" s="55"/>
      <c r="F36" s="55"/>
      <c r="G36" s="55"/>
      <c r="H36" s="55"/>
      <c r="I36" s="55"/>
    </row>
    <row r="37" spans="1:11" s="80" customFormat="1" x14ac:dyDescent="0.25">
      <c r="A37" s="79"/>
      <c r="B37" s="79"/>
      <c r="C37" s="79"/>
      <c r="D37" s="79"/>
      <c r="E37" s="79"/>
      <c r="F37" s="79"/>
      <c r="G37" s="79"/>
      <c r="H37" s="79"/>
      <c r="I37" s="79"/>
    </row>
    <row r="38" spans="1:11" s="80" customFormat="1" x14ac:dyDescent="0.25">
      <c r="A38" s="81" t="s">
        <v>206</v>
      </c>
      <c r="B38" s="79"/>
      <c r="C38" s="79"/>
      <c r="D38" s="79"/>
      <c r="E38" s="79"/>
      <c r="F38" s="79"/>
      <c r="G38" s="79"/>
      <c r="H38" s="79"/>
      <c r="I38" s="79"/>
    </row>
    <row r="39" spans="1:11" x14ac:dyDescent="0.25">
      <c r="A39" s="55" t="s">
        <v>192</v>
      </c>
      <c r="B39" s="55" t="s">
        <v>193</v>
      </c>
      <c r="C39" s="206" t="s">
        <v>204</v>
      </c>
      <c r="D39" s="206"/>
      <c r="E39" s="206"/>
      <c r="F39" s="206"/>
      <c r="G39" s="206"/>
      <c r="H39" s="206"/>
      <c r="I39" s="206"/>
    </row>
    <row r="40" spans="1:11" x14ac:dyDescent="0.25">
      <c r="A40" s="55"/>
      <c r="B40" s="55"/>
      <c r="C40" s="55" t="s">
        <v>195</v>
      </c>
      <c r="D40" s="55" t="s">
        <v>196</v>
      </c>
      <c r="E40" s="55" t="s">
        <v>197</v>
      </c>
      <c r="F40" s="55" t="s">
        <v>198</v>
      </c>
      <c r="G40" s="55" t="s">
        <v>199</v>
      </c>
      <c r="H40" s="55" t="s">
        <v>200</v>
      </c>
      <c r="I40" s="55" t="s">
        <v>201</v>
      </c>
    </row>
    <row r="41" spans="1:11" x14ac:dyDescent="0.25">
      <c r="A41" s="70">
        <v>22</v>
      </c>
      <c r="B41" s="71" t="s">
        <v>177</v>
      </c>
      <c r="C41" s="55">
        <v>0.77</v>
      </c>
      <c r="D41" s="55">
        <v>0.15</v>
      </c>
      <c r="E41" s="55"/>
      <c r="F41" s="55"/>
      <c r="G41" s="55">
        <v>0.08</v>
      </c>
      <c r="H41" s="55"/>
      <c r="I41" s="55"/>
    </row>
    <row r="42" spans="1:11" x14ac:dyDescent="0.25">
      <c r="A42" s="70"/>
      <c r="B42" s="71" t="s">
        <v>205</v>
      </c>
      <c r="C42" s="55">
        <v>1</v>
      </c>
      <c r="D42" s="55"/>
      <c r="E42" s="55"/>
      <c r="F42" s="55"/>
      <c r="G42" s="55"/>
      <c r="H42" s="55"/>
      <c r="I42" s="55"/>
    </row>
    <row r="43" spans="1:11" x14ac:dyDescent="0.25">
      <c r="A43" s="70"/>
      <c r="B43" s="71" t="s">
        <v>179</v>
      </c>
      <c r="C43" s="55">
        <v>1</v>
      </c>
      <c r="D43" s="55"/>
      <c r="E43" s="55"/>
      <c r="F43" s="55"/>
      <c r="G43" s="55"/>
      <c r="H43" s="55"/>
      <c r="I43" s="55"/>
    </row>
    <row r="44" spans="1:11" x14ac:dyDescent="0.25">
      <c r="A44" s="70"/>
      <c r="B44" s="71" t="s">
        <v>180</v>
      </c>
      <c r="C44" s="55">
        <v>0.63</v>
      </c>
      <c r="D44" s="55">
        <v>0.25</v>
      </c>
      <c r="E44" s="55"/>
      <c r="F44" s="55"/>
      <c r="G44" s="55">
        <v>0.12</v>
      </c>
      <c r="H44" s="55"/>
      <c r="I44" s="55"/>
    </row>
    <row r="45" spans="1:11" x14ac:dyDescent="0.25">
      <c r="A45" s="70"/>
      <c r="B45" s="71" t="s">
        <v>184</v>
      </c>
      <c r="C45" s="55">
        <v>1</v>
      </c>
      <c r="D45" s="55"/>
      <c r="E45" s="55"/>
      <c r="F45" s="55"/>
      <c r="G45" s="55"/>
      <c r="H45" s="55"/>
      <c r="I45" s="55"/>
    </row>
    <row r="46" spans="1:11" x14ac:dyDescent="0.25">
      <c r="A46" s="70"/>
      <c r="B46" s="71" t="s">
        <v>185</v>
      </c>
      <c r="C46" s="55">
        <v>1</v>
      </c>
      <c r="D46" s="55"/>
      <c r="E46" s="55"/>
      <c r="F46" s="55"/>
      <c r="G46" s="55"/>
      <c r="H46" s="55"/>
      <c r="I46" s="55"/>
    </row>
    <row r="47" spans="1:11" x14ac:dyDescent="0.25">
      <c r="A47" s="70"/>
      <c r="B47" s="71" t="s">
        <v>186</v>
      </c>
      <c r="C47" s="55">
        <v>1</v>
      </c>
      <c r="D47" s="55"/>
      <c r="E47" s="55"/>
      <c r="F47" s="55"/>
      <c r="G47" s="55"/>
      <c r="H47" s="55"/>
      <c r="I47" s="55"/>
    </row>
    <row r="48" spans="1:11" x14ac:dyDescent="0.25">
      <c r="A48" s="70"/>
      <c r="B48" s="71" t="s">
        <v>187</v>
      </c>
      <c r="C48" s="55">
        <v>1</v>
      </c>
      <c r="D48" s="55"/>
      <c r="E48" s="55"/>
      <c r="F48" s="55"/>
      <c r="G48" s="55"/>
      <c r="H48" s="55"/>
      <c r="I48" s="55"/>
    </row>
    <row r="49" spans="1:28" x14ac:dyDescent="0.25">
      <c r="A49" s="72">
        <v>24</v>
      </c>
      <c r="B49" s="73" t="s">
        <v>177</v>
      </c>
      <c r="C49" s="55">
        <v>1</v>
      </c>
      <c r="D49" s="55"/>
      <c r="E49" s="55"/>
      <c r="F49" s="55"/>
      <c r="G49" s="55"/>
      <c r="H49" s="55"/>
      <c r="I49" s="55"/>
    </row>
    <row r="50" spans="1:28" x14ac:dyDescent="0.25">
      <c r="A50" s="72"/>
      <c r="B50" s="73" t="s">
        <v>205</v>
      </c>
      <c r="C50" s="55">
        <v>1</v>
      </c>
      <c r="D50" s="55"/>
      <c r="E50" s="55"/>
      <c r="F50" s="55"/>
      <c r="G50" s="55"/>
      <c r="H50" s="55"/>
      <c r="I50" s="55"/>
    </row>
    <row r="51" spans="1:28" x14ac:dyDescent="0.25">
      <c r="A51" s="72"/>
      <c r="B51" s="73" t="s">
        <v>179</v>
      </c>
      <c r="C51" s="55">
        <v>1</v>
      </c>
      <c r="D51" s="55"/>
      <c r="E51" s="55"/>
      <c r="F51" s="55"/>
      <c r="G51" s="55"/>
      <c r="H51" s="55"/>
      <c r="I51" s="55"/>
    </row>
    <row r="52" spans="1:28" x14ac:dyDescent="0.25">
      <c r="A52" s="72"/>
      <c r="B52" s="73" t="s">
        <v>180</v>
      </c>
      <c r="C52" s="55">
        <v>1</v>
      </c>
      <c r="D52" s="55"/>
      <c r="E52" s="55"/>
      <c r="F52" s="55"/>
      <c r="G52" s="55"/>
      <c r="H52" s="55"/>
      <c r="I52" s="55"/>
    </row>
    <row r="53" spans="1:28" x14ac:dyDescent="0.25">
      <c r="A53" s="72"/>
      <c r="B53" s="73" t="s">
        <v>184</v>
      </c>
      <c r="C53" s="55">
        <v>0.5</v>
      </c>
      <c r="D53" s="55"/>
      <c r="E53" s="55"/>
      <c r="F53" s="55">
        <v>0.25</v>
      </c>
      <c r="G53" s="55">
        <v>0.25</v>
      </c>
      <c r="H53" s="55"/>
      <c r="I53" s="55"/>
    </row>
    <row r="54" spans="1:28" x14ac:dyDescent="0.25">
      <c r="A54" s="72"/>
      <c r="B54" s="73" t="s">
        <v>185</v>
      </c>
      <c r="C54" s="55">
        <v>0.5</v>
      </c>
      <c r="D54" s="55"/>
      <c r="E54" s="55"/>
      <c r="F54" s="55">
        <v>0.25</v>
      </c>
      <c r="G54" s="55">
        <v>0.25</v>
      </c>
      <c r="H54" s="55"/>
      <c r="I54" s="55"/>
    </row>
    <row r="55" spans="1:28" x14ac:dyDescent="0.25">
      <c r="A55" s="72"/>
      <c r="B55" s="73" t="s">
        <v>186</v>
      </c>
      <c r="C55" s="55">
        <v>0.5</v>
      </c>
      <c r="D55" s="55"/>
      <c r="E55" s="55"/>
      <c r="F55" s="55">
        <v>0.25</v>
      </c>
      <c r="G55" s="55">
        <v>0.25</v>
      </c>
      <c r="H55" s="55"/>
      <c r="I55" s="55"/>
    </row>
    <row r="56" spans="1:28" x14ac:dyDescent="0.25">
      <c r="A56" s="72"/>
      <c r="B56" s="73" t="s">
        <v>187</v>
      </c>
      <c r="C56" s="55">
        <v>0.5</v>
      </c>
      <c r="D56" s="55"/>
      <c r="E56" s="55"/>
      <c r="F56" s="55">
        <v>0.25</v>
      </c>
      <c r="G56" s="55">
        <v>0.25</v>
      </c>
      <c r="H56" s="55"/>
      <c r="I56" s="55"/>
    </row>
    <row r="57" spans="1:28" x14ac:dyDescent="0.25">
      <c r="A57" s="74">
        <v>25</v>
      </c>
      <c r="B57" s="75" t="s">
        <v>177</v>
      </c>
      <c r="C57" s="55">
        <v>1</v>
      </c>
      <c r="D57" s="55"/>
      <c r="E57" s="55"/>
      <c r="F57" s="55"/>
      <c r="G57" s="55"/>
      <c r="H57" s="55"/>
      <c r="I57" s="55"/>
    </row>
    <row r="58" spans="1:28" x14ac:dyDescent="0.25">
      <c r="A58" s="74"/>
      <c r="B58" s="75" t="s">
        <v>205</v>
      </c>
      <c r="C58" s="55">
        <v>1</v>
      </c>
      <c r="D58" s="55"/>
      <c r="E58" s="55"/>
      <c r="F58" s="55"/>
      <c r="G58" s="55"/>
      <c r="H58" s="55"/>
      <c r="I58" s="55"/>
      <c r="K58" s="4" t="s">
        <v>331</v>
      </c>
    </row>
    <row r="59" spans="1:28" x14ac:dyDescent="0.25">
      <c r="A59" s="74"/>
      <c r="B59" s="75" t="s">
        <v>179</v>
      </c>
      <c r="C59" s="55">
        <v>1</v>
      </c>
      <c r="D59" s="55"/>
      <c r="E59" s="55"/>
      <c r="F59" s="55"/>
      <c r="G59" s="55"/>
      <c r="H59" s="55"/>
      <c r="I59" s="55"/>
    </row>
    <row r="60" spans="1:28" x14ac:dyDescent="0.25">
      <c r="A60" s="74"/>
      <c r="B60" s="75" t="s">
        <v>180</v>
      </c>
      <c r="C60" s="55">
        <v>1</v>
      </c>
      <c r="D60" s="55"/>
      <c r="E60" s="55"/>
      <c r="F60" s="55"/>
      <c r="G60" s="55"/>
      <c r="H60" s="55"/>
      <c r="I60" s="55"/>
      <c r="K60" s="152" t="s">
        <v>332</v>
      </c>
      <c r="L60" s="148">
        <v>2015</v>
      </c>
      <c r="M60" s="148">
        <v>2020</v>
      </c>
      <c r="N60" s="148">
        <v>2025</v>
      </c>
      <c r="O60" s="148">
        <v>2030</v>
      </c>
      <c r="P60" s="148">
        <v>2035</v>
      </c>
      <c r="Q60" s="148">
        <v>2040</v>
      </c>
      <c r="R60" s="148">
        <v>2045</v>
      </c>
      <c r="S60" s="148">
        <v>2050</v>
      </c>
      <c r="U60" s="148">
        <v>2015</v>
      </c>
      <c r="V60" s="148">
        <v>2020</v>
      </c>
      <c r="W60" s="148">
        <v>2025</v>
      </c>
      <c r="X60" s="148">
        <v>2030</v>
      </c>
      <c r="Y60" s="148">
        <v>2035</v>
      </c>
      <c r="Z60" s="148">
        <v>2040</v>
      </c>
      <c r="AA60" s="148">
        <v>2045</v>
      </c>
      <c r="AB60" s="148">
        <v>2050</v>
      </c>
    </row>
    <row r="61" spans="1:28" x14ac:dyDescent="0.25">
      <c r="A61" s="74"/>
      <c r="B61" s="75" t="s">
        <v>181</v>
      </c>
      <c r="C61" s="55"/>
      <c r="D61" s="55"/>
      <c r="E61" s="55">
        <v>1</v>
      </c>
      <c r="F61" s="55"/>
      <c r="G61" s="55"/>
      <c r="H61" s="55"/>
      <c r="I61" s="55"/>
      <c r="K61" s="153" t="s">
        <v>333</v>
      </c>
      <c r="L61" s="154">
        <v>2900</v>
      </c>
      <c r="M61" s="155">
        <v>3000</v>
      </c>
      <c r="N61" s="154">
        <v>3200</v>
      </c>
      <c r="O61" s="154">
        <v>3400</v>
      </c>
      <c r="P61" s="154">
        <v>3700</v>
      </c>
      <c r="Q61" s="55">
        <v>4000</v>
      </c>
      <c r="R61" s="55">
        <v>4250</v>
      </c>
      <c r="S61" s="55">
        <v>4500</v>
      </c>
      <c r="U61">
        <f>L61*$M$94</f>
        <v>309082</v>
      </c>
      <c r="V61">
        <f t="shared" ref="V61:AB61" si="0">M61*$M$94</f>
        <v>319740</v>
      </c>
      <c r="W61">
        <f t="shared" si="0"/>
        <v>341056</v>
      </c>
      <c r="X61">
        <f t="shared" si="0"/>
        <v>362372</v>
      </c>
      <c r="Y61">
        <f t="shared" si="0"/>
        <v>394346</v>
      </c>
      <c r="Z61">
        <f t="shared" si="0"/>
        <v>426320</v>
      </c>
      <c r="AA61">
        <f t="shared" si="0"/>
        <v>452965</v>
      </c>
      <c r="AB61">
        <f t="shared" si="0"/>
        <v>479610</v>
      </c>
    </row>
    <row r="62" spans="1:28" x14ac:dyDescent="0.25">
      <c r="A62" s="74"/>
      <c r="B62" s="75" t="s">
        <v>184</v>
      </c>
      <c r="C62" s="55">
        <v>0.5</v>
      </c>
      <c r="D62" s="55"/>
      <c r="E62" s="55"/>
      <c r="F62" s="55">
        <v>0.25</v>
      </c>
      <c r="G62" s="55">
        <v>0.25</v>
      </c>
      <c r="H62" s="55"/>
      <c r="I62" s="55"/>
      <c r="K62" s="153" t="s">
        <v>334</v>
      </c>
      <c r="L62" s="154">
        <v>6100</v>
      </c>
      <c r="M62" s="155">
        <v>6300</v>
      </c>
      <c r="N62" s="154">
        <v>6720</v>
      </c>
      <c r="O62" s="154">
        <v>7140</v>
      </c>
      <c r="P62" s="154">
        <v>7570</v>
      </c>
      <c r="Q62" s="55">
        <v>8000</v>
      </c>
      <c r="R62" s="55">
        <v>8500</v>
      </c>
      <c r="S62" s="55">
        <v>9000</v>
      </c>
      <c r="U62">
        <f>L62*$M$95</f>
        <v>325069</v>
      </c>
      <c r="V62">
        <f t="shared" ref="V62:AB62" si="1">M62*$M$95</f>
        <v>335727</v>
      </c>
      <c r="W62">
        <f t="shared" si="1"/>
        <v>358108.8</v>
      </c>
      <c r="X62">
        <f t="shared" si="1"/>
        <v>380490.6</v>
      </c>
      <c r="Y62">
        <f t="shared" si="1"/>
        <v>403405.3</v>
      </c>
      <c r="Z62">
        <f t="shared" si="1"/>
        <v>426320</v>
      </c>
      <c r="AA62">
        <f t="shared" si="1"/>
        <v>452965</v>
      </c>
      <c r="AB62">
        <f t="shared" si="1"/>
        <v>479610</v>
      </c>
    </row>
    <row r="63" spans="1:28" x14ac:dyDescent="0.25">
      <c r="A63" s="74"/>
      <c r="B63" s="75" t="s">
        <v>185</v>
      </c>
      <c r="C63" s="55">
        <v>0.5</v>
      </c>
      <c r="D63" s="55"/>
      <c r="E63" s="55"/>
      <c r="F63" s="55">
        <v>0.25</v>
      </c>
      <c r="G63" s="55">
        <v>0.25</v>
      </c>
      <c r="H63" s="55"/>
      <c r="I63" s="55"/>
      <c r="K63" s="153" t="s">
        <v>335</v>
      </c>
      <c r="L63" s="154">
        <v>2000</v>
      </c>
      <c r="M63" s="155">
        <v>2100</v>
      </c>
      <c r="N63" s="154">
        <v>2200</v>
      </c>
      <c r="O63" s="154">
        <v>2300</v>
      </c>
      <c r="P63" s="154">
        <v>2650</v>
      </c>
      <c r="Q63" s="55">
        <v>3000</v>
      </c>
      <c r="R63" s="55">
        <v>3250</v>
      </c>
      <c r="S63" s="55">
        <v>3500</v>
      </c>
      <c r="U63">
        <f>L63*$M$98</f>
        <v>266450</v>
      </c>
      <c r="V63">
        <f t="shared" ref="V63:AB63" si="2">M63*$M$98</f>
        <v>279772.5</v>
      </c>
      <c r="W63">
        <f t="shared" si="2"/>
        <v>293095</v>
      </c>
      <c r="X63">
        <f t="shared" si="2"/>
        <v>306417.5</v>
      </c>
      <c r="Y63">
        <f t="shared" si="2"/>
        <v>353046.25</v>
      </c>
      <c r="Z63">
        <f t="shared" si="2"/>
        <v>399675</v>
      </c>
      <c r="AA63">
        <f t="shared" si="2"/>
        <v>432981.25</v>
      </c>
      <c r="AB63">
        <f t="shared" si="2"/>
        <v>466287.5</v>
      </c>
    </row>
    <row r="64" spans="1:28" x14ac:dyDescent="0.25">
      <c r="A64" s="74"/>
      <c r="B64" s="75" t="s">
        <v>186</v>
      </c>
      <c r="C64" s="55">
        <v>0.5</v>
      </c>
      <c r="D64" s="55"/>
      <c r="E64" s="55"/>
      <c r="F64" s="55">
        <v>0.25</v>
      </c>
      <c r="G64" s="55">
        <v>0.25</v>
      </c>
      <c r="H64" s="55"/>
      <c r="I64" s="55"/>
      <c r="K64" s="153" t="s">
        <v>116</v>
      </c>
      <c r="L64" s="154">
        <v>26000</v>
      </c>
      <c r="M64" s="156">
        <v>26700</v>
      </c>
      <c r="N64" s="157">
        <v>28000</v>
      </c>
      <c r="O64" s="157">
        <v>30000</v>
      </c>
      <c r="P64" s="157">
        <v>32500</v>
      </c>
      <c r="Q64" s="55">
        <v>35000</v>
      </c>
      <c r="R64" s="55">
        <v>37500</v>
      </c>
      <c r="S64" s="55">
        <v>40000</v>
      </c>
      <c r="U64">
        <f>L64*$M$104</f>
        <v>390039.00000000006</v>
      </c>
      <c r="V64">
        <f t="shared" ref="V64:AB64" si="3">M64*$M$104</f>
        <v>400540.05000000005</v>
      </c>
      <c r="W64">
        <f t="shared" si="3"/>
        <v>420042.00000000006</v>
      </c>
      <c r="X64">
        <f t="shared" si="3"/>
        <v>450045.00000000006</v>
      </c>
      <c r="Y64">
        <f t="shared" si="3"/>
        <v>487548.75000000006</v>
      </c>
      <c r="Z64">
        <f t="shared" si="3"/>
        <v>525052.50000000012</v>
      </c>
      <c r="AA64">
        <f t="shared" si="3"/>
        <v>562556.25000000012</v>
      </c>
      <c r="AB64">
        <f t="shared" si="3"/>
        <v>600060.00000000012</v>
      </c>
    </row>
    <row r="65" spans="1:28" x14ac:dyDescent="0.25">
      <c r="A65" s="74"/>
      <c r="B65" s="75" t="s">
        <v>187</v>
      </c>
      <c r="C65" s="55">
        <v>0.5</v>
      </c>
      <c r="D65" s="55"/>
      <c r="E65" s="55"/>
      <c r="F65" s="55">
        <v>0.25</v>
      </c>
      <c r="G65" s="55">
        <v>0.25</v>
      </c>
      <c r="H65" s="55"/>
      <c r="I65" s="55"/>
      <c r="K65" s="153" t="s">
        <v>214</v>
      </c>
      <c r="L65" s="154">
        <v>2600</v>
      </c>
      <c r="M65" s="154">
        <v>3000</v>
      </c>
      <c r="N65" s="154">
        <v>3500</v>
      </c>
      <c r="O65" s="154">
        <v>4000</v>
      </c>
      <c r="P65" s="154">
        <v>5000</v>
      </c>
      <c r="Q65" s="55">
        <v>6000</v>
      </c>
      <c r="R65" s="55">
        <v>7000</v>
      </c>
      <c r="S65" s="55">
        <v>8000</v>
      </c>
      <c r="U65">
        <f>L65*$M$103</f>
        <v>49964.85</v>
      </c>
      <c r="V65">
        <f t="shared" ref="V65:AB65" si="4">M65*$M$103</f>
        <v>57651.75</v>
      </c>
      <c r="W65">
        <f t="shared" si="4"/>
        <v>67260.375</v>
      </c>
      <c r="X65">
        <f t="shared" si="4"/>
        <v>76869</v>
      </c>
      <c r="Y65">
        <f t="shared" si="4"/>
        <v>96086.25</v>
      </c>
      <c r="Z65">
        <f t="shared" si="4"/>
        <v>115303.5</v>
      </c>
      <c r="AA65">
        <f t="shared" si="4"/>
        <v>134520.75</v>
      </c>
      <c r="AB65">
        <f t="shared" si="4"/>
        <v>153738</v>
      </c>
    </row>
    <row r="66" spans="1:28" x14ac:dyDescent="0.25">
      <c r="A66" s="76" t="s">
        <v>202</v>
      </c>
      <c r="B66" s="77" t="s">
        <v>114</v>
      </c>
      <c r="C66" s="55">
        <v>0.99</v>
      </c>
      <c r="D66" s="55"/>
      <c r="E66" s="55">
        <v>0.01</v>
      </c>
      <c r="F66" s="55"/>
      <c r="G66" s="55"/>
      <c r="H66" s="55"/>
      <c r="I66" s="55"/>
      <c r="K66" s="158" t="s">
        <v>336</v>
      </c>
      <c r="L66" s="159">
        <v>5300000</v>
      </c>
      <c r="M66" s="159">
        <v>5500000</v>
      </c>
      <c r="N66" s="159">
        <v>5700000</v>
      </c>
      <c r="O66" s="159">
        <v>5800000</v>
      </c>
      <c r="P66" s="159">
        <v>5950000</v>
      </c>
      <c r="Q66" s="149">
        <v>6100000</v>
      </c>
      <c r="R66" s="149">
        <v>6300000</v>
      </c>
      <c r="S66" s="149">
        <v>6500000</v>
      </c>
      <c r="U66">
        <f>L66*$M$106</f>
        <v>3830310</v>
      </c>
      <c r="V66">
        <f t="shared" ref="V66:AB66" si="5">M66*$M$106</f>
        <v>3974850</v>
      </c>
      <c r="W66">
        <f t="shared" si="5"/>
        <v>4119390</v>
      </c>
      <c r="X66">
        <f t="shared" si="5"/>
        <v>4191660</v>
      </c>
      <c r="Y66">
        <f t="shared" si="5"/>
        <v>4300065</v>
      </c>
      <c r="Z66">
        <f t="shared" si="5"/>
        <v>4408470</v>
      </c>
      <c r="AA66">
        <f t="shared" si="5"/>
        <v>4553010</v>
      </c>
      <c r="AB66">
        <f t="shared" si="5"/>
        <v>4697550</v>
      </c>
    </row>
    <row r="67" spans="1:28" x14ac:dyDescent="0.25">
      <c r="A67" s="77"/>
      <c r="B67" s="77" t="s">
        <v>116</v>
      </c>
      <c r="C67" s="55">
        <v>0.97</v>
      </c>
      <c r="D67" s="55"/>
      <c r="E67" s="55">
        <v>0.03</v>
      </c>
      <c r="F67" s="55"/>
      <c r="G67" s="55"/>
      <c r="H67" s="55"/>
      <c r="I67" s="55"/>
      <c r="K67" s="158" t="s">
        <v>337</v>
      </c>
      <c r="L67" s="159">
        <v>650000</v>
      </c>
      <c r="M67" s="160">
        <v>675000</v>
      </c>
      <c r="N67" s="160">
        <v>685000</v>
      </c>
      <c r="O67" s="160">
        <v>690000</v>
      </c>
      <c r="P67" s="160">
        <v>710000</v>
      </c>
      <c r="Q67" s="150">
        <v>725000</v>
      </c>
      <c r="R67" s="150">
        <v>737500</v>
      </c>
      <c r="S67" s="150">
        <v>750000</v>
      </c>
      <c r="U67">
        <f>L67*$M$108</f>
        <v>350181</v>
      </c>
      <c r="V67">
        <f t="shared" ref="V67:AB67" si="6">M67*$M$108</f>
        <v>363649.5</v>
      </c>
      <c r="W67">
        <f t="shared" si="6"/>
        <v>369036.9</v>
      </c>
      <c r="X67">
        <f t="shared" si="6"/>
        <v>371730.6</v>
      </c>
      <c r="Y67">
        <f t="shared" si="6"/>
        <v>382505.4</v>
      </c>
      <c r="Z67">
        <f t="shared" si="6"/>
        <v>390586.5</v>
      </c>
      <c r="AA67">
        <f t="shared" si="6"/>
        <v>397320.75</v>
      </c>
      <c r="AB67">
        <f t="shared" si="6"/>
        <v>404055</v>
      </c>
    </row>
    <row r="68" spans="1:28" x14ac:dyDescent="0.25">
      <c r="A68" s="77"/>
      <c r="B68" s="77" t="s">
        <v>78</v>
      </c>
      <c r="C68" s="55"/>
      <c r="D68" s="55">
        <v>1</v>
      </c>
      <c r="E68" s="55"/>
      <c r="F68" s="55"/>
      <c r="G68" s="55"/>
      <c r="H68" s="55"/>
      <c r="I68" s="55"/>
      <c r="K68" s="158" t="s">
        <v>90</v>
      </c>
      <c r="L68" s="161">
        <v>6000</v>
      </c>
      <c r="M68" s="161">
        <v>7000</v>
      </c>
      <c r="N68" s="161">
        <v>8000</v>
      </c>
      <c r="O68" s="161">
        <v>9000</v>
      </c>
      <c r="P68" s="159">
        <v>10500</v>
      </c>
      <c r="Q68" s="150">
        <v>12000</v>
      </c>
      <c r="R68" s="150">
        <v>12500</v>
      </c>
      <c r="S68" s="150">
        <v>13000</v>
      </c>
      <c r="U68">
        <f>L68*$M$109</f>
        <v>4544.25</v>
      </c>
      <c r="V68">
        <f t="shared" ref="V68:AB68" si="7">M68*$M$109</f>
        <v>5301.625</v>
      </c>
      <c r="W68">
        <f t="shared" si="7"/>
        <v>6059</v>
      </c>
      <c r="X68">
        <f t="shared" si="7"/>
        <v>6816.375</v>
      </c>
      <c r="Y68">
        <f t="shared" si="7"/>
        <v>7952.4375</v>
      </c>
      <c r="Z68">
        <f t="shared" si="7"/>
        <v>9088.5</v>
      </c>
      <c r="AA68">
        <f t="shared" si="7"/>
        <v>9467.1875</v>
      </c>
      <c r="AB68">
        <f t="shared" si="7"/>
        <v>9845.875</v>
      </c>
    </row>
    <row r="69" spans="1:28" x14ac:dyDescent="0.25">
      <c r="A69" s="77"/>
      <c r="B69" s="77" t="s">
        <v>188</v>
      </c>
      <c r="C69" s="55"/>
      <c r="D69" s="55"/>
      <c r="E69" s="55"/>
      <c r="F69" s="55"/>
      <c r="G69" s="55"/>
      <c r="H69" s="55">
        <v>1</v>
      </c>
      <c r="I69" s="55"/>
      <c r="K69" s="162" t="s">
        <v>373</v>
      </c>
      <c r="L69" s="159">
        <f>L67+L68</f>
        <v>656000</v>
      </c>
      <c r="M69" s="159">
        <f t="shared" ref="M69:S69" si="8">M67+M68</f>
        <v>682000</v>
      </c>
      <c r="N69" s="159">
        <f t="shared" si="8"/>
        <v>693000</v>
      </c>
      <c r="O69" s="159">
        <f t="shared" si="8"/>
        <v>699000</v>
      </c>
      <c r="P69" s="159">
        <f t="shared" si="8"/>
        <v>720500</v>
      </c>
      <c r="Q69" s="159">
        <f t="shared" si="8"/>
        <v>737000</v>
      </c>
      <c r="R69" s="159">
        <f t="shared" si="8"/>
        <v>750000</v>
      </c>
      <c r="S69" s="159">
        <f t="shared" si="8"/>
        <v>763000</v>
      </c>
    </row>
    <row r="70" spans="1:28" x14ac:dyDescent="0.25">
      <c r="A70" s="77"/>
      <c r="B70" s="77" t="s">
        <v>189</v>
      </c>
      <c r="C70" s="55"/>
      <c r="D70" s="55"/>
      <c r="E70" s="55"/>
      <c r="F70" s="55"/>
      <c r="G70" s="55"/>
      <c r="H70" s="55">
        <v>1</v>
      </c>
      <c r="I70" s="55"/>
      <c r="K70" s="153" t="s">
        <v>106</v>
      </c>
      <c r="L70" s="154">
        <v>21000</v>
      </c>
      <c r="M70" s="154">
        <v>22000</v>
      </c>
      <c r="N70" s="154">
        <v>23000</v>
      </c>
      <c r="O70" s="154">
        <v>24000</v>
      </c>
      <c r="P70" s="154">
        <v>27000</v>
      </c>
      <c r="Q70" s="55">
        <v>30000</v>
      </c>
      <c r="R70" s="55">
        <v>32500</v>
      </c>
      <c r="S70" s="55">
        <v>35000</v>
      </c>
      <c r="U70">
        <f>L70*$K$102</f>
        <v>2625000</v>
      </c>
      <c r="V70">
        <f t="shared" ref="V70:AB70" si="9">M70*$K$102</f>
        <v>2750000</v>
      </c>
      <c r="W70">
        <f t="shared" si="9"/>
        <v>2875000</v>
      </c>
      <c r="X70">
        <f t="shared" si="9"/>
        <v>3000000</v>
      </c>
      <c r="Y70">
        <f t="shared" si="9"/>
        <v>3375000</v>
      </c>
      <c r="Z70">
        <f t="shared" si="9"/>
        <v>3750000</v>
      </c>
      <c r="AA70">
        <f t="shared" si="9"/>
        <v>4062500</v>
      </c>
      <c r="AB70">
        <f t="shared" si="9"/>
        <v>4375000</v>
      </c>
    </row>
    <row r="71" spans="1:28" x14ac:dyDescent="0.25">
      <c r="A71" s="77"/>
      <c r="B71" s="77" t="s">
        <v>190</v>
      </c>
      <c r="C71" s="55"/>
      <c r="D71" s="55"/>
      <c r="E71" s="55"/>
      <c r="F71" s="55"/>
      <c r="G71" s="55"/>
      <c r="H71" s="55">
        <v>0.35</v>
      </c>
      <c r="I71" s="55">
        <v>0.65</v>
      </c>
      <c r="K71" s="153" t="s">
        <v>338</v>
      </c>
      <c r="L71" s="154">
        <v>16000</v>
      </c>
      <c r="M71" s="154">
        <v>17000</v>
      </c>
      <c r="N71" s="154">
        <v>17500</v>
      </c>
      <c r="O71" s="154">
        <v>18000</v>
      </c>
      <c r="P71" s="154">
        <v>19000</v>
      </c>
      <c r="Q71" s="55">
        <v>20000</v>
      </c>
      <c r="R71" s="55">
        <v>21000</v>
      </c>
      <c r="S71" s="55">
        <v>22000</v>
      </c>
      <c r="U71">
        <f>L71*$M$110</f>
        <v>409968</v>
      </c>
      <c r="V71">
        <f t="shared" ref="V71:AB71" si="10">M71*$M$110</f>
        <v>435591</v>
      </c>
      <c r="W71">
        <f t="shared" si="10"/>
        <v>448402.5</v>
      </c>
      <c r="X71">
        <f t="shared" si="10"/>
        <v>461214</v>
      </c>
      <c r="Y71">
        <f t="shared" si="10"/>
        <v>486837</v>
      </c>
      <c r="Z71">
        <f t="shared" si="10"/>
        <v>512460</v>
      </c>
      <c r="AA71">
        <f t="shared" si="10"/>
        <v>538083</v>
      </c>
      <c r="AB71">
        <f t="shared" si="10"/>
        <v>563706</v>
      </c>
    </row>
    <row r="72" spans="1:28" x14ac:dyDescent="0.25">
      <c r="A72" s="77"/>
      <c r="B72" s="77" t="s">
        <v>90</v>
      </c>
      <c r="C72" s="55"/>
      <c r="D72" s="55"/>
      <c r="E72" s="55"/>
      <c r="F72" s="55"/>
      <c r="G72" s="55"/>
      <c r="H72" s="55">
        <v>0.15</v>
      </c>
      <c r="I72" s="55">
        <v>0.85</v>
      </c>
      <c r="U72">
        <f>SUM(U61:U68)</f>
        <v>5525640.0999999996</v>
      </c>
      <c r="V72">
        <f t="shared" ref="V72:AB72" si="11">SUM(V61:V68)</f>
        <v>5737232.4249999998</v>
      </c>
      <c r="W72">
        <f t="shared" si="11"/>
        <v>5974048.0750000002</v>
      </c>
      <c r="X72">
        <f t="shared" si="11"/>
        <v>6146401.0749999993</v>
      </c>
      <c r="Y72">
        <f t="shared" si="11"/>
        <v>6424955.3875000002</v>
      </c>
      <c r="Z72">
        <f t="shared" si="11"/>
        <v>6700816</v>
      </c>
      <c r="AA72">
        <f t="shared" si="11"/>
        <v>6995786.1875</v>
      </c>
      <c r="AB72">
        <f t="shared" si="11"/>
        <v>7290756.375</v>
      </c>
    </row>
    <row r="73" spans="1:28" x14ac:dyDescent="0.25">
      <c r="A73" s="77"/>
      <c r="B73" s="77" t="s">
        <v>75</v>
      </c>
      <c r="C73" s="55"/>
      <c r="D73" s="55">
        <v>1</v>
      </c>
      <c r="E73" s="55"/>
      <c r="F73" s="55"/>
      <c r="G73" s="55"/>
      <c r="H73" s="55"/>
      <c r="I73" s="55"/>
      <c r="T73" t="s">
        <v>389</v>
      </c>
      <c r="U73">
        <f>U72*$P$116</f>
        <v>3501522.5645859241</v>
      </c>
      <c r="V73">
        <f t="shared" ref="V73:AB73" si="12">V72*$P$116</f>
        <v>3635605.7272733925</v>
      </c>
      <c r="W73">
        <f t="shared" si="12"/>
        <v>3785672.566067704</v>
      </c>
      <c r="X73">
        <f t="shared" si="12"/>
        <v>3894890.3051264011</v>
      </c>
      <c r="Y73">
        <f t="shared" si="12"/>
        <v>4071406.3635431398</v>
      </c>
      <c r="Z73">
        <f t="shared" si="12"/>
        <v>4246215.4611080075</v>
      </c>
      <c r="AA73">
        <f t="shared" si="12"/>
        <v>4433134.0350142941</v>
      </c>
      <c r="AB73">
        <f t="shared" si="12"/>
        <v>4620052.6089205807</v>
      </c>
    </row>
    <row r="74" spans="1:28" x14ac:dyDescent="0.25">
      <c r="T74" t="s">
        <v>390</v>
      </c>
      <c r="U74" s="8">
        <f>U71+$P$105</f>
        <v>464088.0465</v>
      </c>
      <c r="V74" s="8">
        <f t="shared" ref="V74:AB74" si="13">V71+$P$105</f>
        <v>489711.0465</v>
      </c>
      <c r="W74" s="8">
        <f t="shared" si="13"/>
        <v>502522.5465</v>
      </c>
      <c r="X74" s="8">
        <f t="shared" si="13"/>
        <v>515334.0465</v>
      </c>
      <c r="Y74" s="8">
        <f t="shared" si="13"/>
        <v>540957.04650000005</v>
      </c>
      <c r="Z74" s="8">
        <f t="shared" si="13"/>
        <v>566580.04650000005</v>
      </c>
      <c r="AA74" s="8">
        <f t="shared" si="13"/>
        <v>592203.04650000005</v>
      </c>
      <c r="AB74" s="8">
        <f t="shared" si="13"/>
        <v>617826.04650000005</v>
      </c>
    </row>
    <row r="75" spans="1:28" x14ac:dyDescent="0.25">
      <c r="A75" s="81" t="s">
        <v>207</v>
      </c>
      <c r="B75" s="79"/>
      <c r="C75" s="79"/>
      <c r="D75" s="79"/>
      <c r="E75" s="79"/>
      <c r="F75" s="79"/>
      <c r="G75" s="79"/>
      <c r="H75" s="79"/>
      <c r="I75" s="79"/>
      <c r="K75" s="4" t="s">
        <v>339</v>
      </c>
      <c r="T75" t="s">
        <v>388</v>
      </c>
      <c r="U75">
        <f>(U61+U62)*$S$92</f>
        <v>12683.02</v>
      </c>
      <c r="V75">
        <f t="shared" ref="V75:AB75" si="14">(V61+V62)*$S$92</f>
        <v>13109.34</v>
      </c>
      <c r="W75">
        <f t="shared" si="14"/>
        <v>13983.296000000002</v>
      </c>
      <c r="X75">
        <f t="shared" si="14"/>
        <v>14857.252</v>
      </c>
      <c r="Y75">
        <f t="shared" si="14"/>
        <v>15955.026000000002</v>
      </c>
      <c r="Z75">
        <f t="shared" si="14"/>
        <v>17052.8</v>
      </c>
      <c r="AA75">
        <f t="shared" si="14"/>
        <v>18118.600000000002</v>
      </c>
      <c r="AB75">
        <f t="shared" si="14"/>
        <v>19184.400000000001</v>
      </c>
    </row>
    <row r="76" spans="1:28" x14ac:dyDescent="0.25">
      <c r="A76" s="55" t="s">
        <v>192</v>
      </c>
      <c r="B76" s="55" t="s">
        <v>193</v>
      </c>
      <c r="C76" s="206" t="s">
        <v>204</v>
      </c>
      <c r="D76" s="206"/>
      <c r="E76" s="206"/>
      <c r="F76" s="206"/>
      <c r="G76" s="206"/>
      <c r="H76" s="206"/>
      <c r="I76" s="206"/>
      <c r="K76" s="152" t="s">
        <v>332</v>
      </c>
      <c r="L76" s="148">
        <v>2015</v>
      </c>
      <c r="M76" s="148">
        <v>2020</v>
      </c>
      <c r="N76" s="148">
        <v>2025</v>
      </c>
      <c r="O76" s="148">
        <v>2030</v>
      </c>
      <c r="P76" s="148">
        <v>2035</v>
      </c>
      <c r="Q76" s="148">
        <v>2040</v>
      </c>
      <c r="R76" s="148">
        <v>2045</v>
      </c>
      <c r="S76" s="148">
        <v>2050</v>
      </c>
      <c r="U76" s="148">
        <v>2015</v>
      </c>
      <c r="V76" s="148">
        <v>2020</v>
      </c>
      <c r="W76" s="148">
        <v>2025</v>
      </c>
      <c r="X76" s="148">
        <v>2030</v>
      </c>
      <c r="Y76" s="148">
        <v>2035</v>
      </c>
      <c r="Z76" s="148">
        <v>2040</v>
      </c>
      <c r="AA76" s="148">
        <v>2045</v>
      </c>
      <c r="AB76" s="148">
        <v>2050</v>
      </c>
    </row>
    <row r="77" spans="1:28" x14ac:dyDescent="0.25">
      <c r="A77" s="55"/>
      <c r="B77" s="55"/>
      <c r="C77" s="55" t="s">
        <v>195</v>
      </c>
      <c r="D77" s="55" t="s">
        <v>196</v>
      </c>
      <c r="E77" s="55" t="s">
        <v>197</v>
      </c>
      <c r="F77" s="55" t="s">
        <v>198</v>
      </c>
      <c r="G77" s="55" t="s">
        <v>199</v>
      </c>
      <c r="H77" s="55" t="s">
        <v>200</v>
      </c>
      <c r="I77" s="55" t="s">
        <v>201</v>
      </c>
      <c r="K77" s="153" t="s">
        <v>333</v>
      </c>
      <c r="L77" s="154">
        <v>2900</v>
      </c>
      <c r="M77" s="155">
        <v>2700</v>
      </c>
      <c r="N77" s="154">
        <v>2500</v>
      </c>
      <c r="O77" s="154">
        <v>2400</v>
      </c>
      <c r="P77" s="154">
        <v>2400</v>
      </c>
      <c r="Q77" s="55">
        <v>2400</v>
      </c>
      <c r="R77" s="55">
        <v>2425</v>
      </c>
      <c r="S77" s="55">
        <v>2450</v>
      </c>
      <c r="U77">
        <f>L77*$M$94</f>
        <v>309082</v>
      </c>
      <c r="V77">
        <f>M77*$M$94</f>
        <v>287766</v>
      </c>
      <c r="W77">
        <f t="shared" ref="W77:AB77" si="15">N77*$M$94</f>
        <v>266450</v>
      </c>
      <c r="X77">
        <f t="shared" si="15"/>
        <v>255792</v>
      </c>
      <c r="Y77">
        <f t="shared" si="15"/>
        <v>255792</v>
      </c>
      <c r="Z77">
        <f t="shared" si="15"/>
        <v>255792</v>
      </c>
      <c r="AA77">
        <f t="shared" si="15"/>
        <v>258456.5</v>
      </c>
      <c r="AB77">
        <f t="shared" si="15"/>
        <v>261121</v>
      </c>
    </row>
    <row r="78" spans="1:28" x14ac:dyDescent="0.25">
      <c r="A78" s="70">
        <v>22</v>
      </c>
      <c r="B78" s="71" t="s">
        <v>177</v>
      </c>
      <c r="C78" s="55">
        <v>0.85</v>
      </c>
      <c r="D78" s="55">
        <v>0.09</v>
      </c>
      <c r="E78" s="55"/>
      <c r="F78" s="55"/>
      <c r="G78" s="55">
        <v>0.06</v>
      </c>
      <c r="H78" s="55"/>
      <c r="I78" s="55"/>
      <c r="K78" s="164" t="s">
        <v>334</v>
      </c>
      <c r="L78" s="154">
        <v>6100</v>
      </c>
      <c r="M78" s="163">
        <v>5800</v>
      </c>
      <c r="N78" s="154">
        <v>5600</v>
      </c>
      <c r="O78" s="154">
        <v>5500</v>
      </c>
      <c r="P78" s="154">
        <v>5500</v>
      </c>
      <c r="Q78" s="61">
        <v>5500</v>
      </c>
      <c r="R78" s="61">
        <v>5515</v>
      </c>
      <c r="S78" s="61">
        <v>5530</v>
      </c>
      <c r="U78">
        <f>L78*$M$95</f>
        <v>325069</v>
      </c>
      <c r="V78">
        <f t="shared" ref="V78:AB78" si="16">M78*$M$95</f>
        <v>309082</v>
      </c>
      <c r="W78">
        <f t="shared" si="16"/>
        <v>298424</v>
      </c>
      <c r="X78">
        <f t="shared" si="16"/>
        <v>293095</v>
      </c>
      <c r="Y78">
        <f t="shared" si="16"/>
        <v>293095</v>
      </c>
      <c r="Z78">
        <f t="shared" si="16"/>
        <v>293095</v>
      </c>
      <c r="AA78">
        <f t="shared" si="16"/>
        <v>293894.34999999998</v>
      </c>
      <c r="AB78">
        <f t="shared" si="16"/>
        <v>294693.7</v>
      </c>
    </row>
    <row r="79" spans="1:28" x14ac:dyDescent="0.25">
      <c r="A79" s="70"/>
      <c r="B79" s="71" t="s">
        <v>205</v>
      </c>
      <c r="C79" s="55">
        <v>0.85</v>
      </c>
      <c r="D79" s="55">
        <v>0.09</v>
      </c>
      <c r="E79" s="55"/>
      <c r="F79" s="55"/>
      <c r="G79" s="55">
        <v>0.06</v>
      </c>
      <c r="H79" s="55"/>
      <c r="I79" s="55"/>
      <c r="K79" s="164" t="s">
        <v>335</v>
      </c>
      <c r="L79" s="154">
        <v>2000</v>
      </c>
      <c r="M79" s="163">
        <v>2100</v>
      </c>
      <c r="N79" s="154">
        <v>2200</v>
      </c>
      <c r="O79" s="154">
        <v>2300</v>
      </c>
      <c r="P79" s="154">
        <v>2650</v>
      </c>
      <c r="Q79" s="61">
        <v>3000</v>
      </c>
      <c r="R79" s="61">
        <v>3250</v>
      </c>
      <c r="S79" s="61">
        <v>3500</v>
      </c>
      <c r="U79">
        <f>L79*$M$98</f>
        <v>266450</v>
      </c>
      <c r="V79">
        <f t="shared" ref="V79:AB79" si="17">M79*$M$98</f>
        <v>279772.5</v>
      </c>
      <c r="W79">
        <f t="shared" si="17"/>
        <v>293095</v>
      </c>
      <c r="X79">
        <f t="shared" si="17"/>
        <v>306417.5</v>
      </c>
      <c r="Y79">
        <f t="shared" si="17"/>
        <v>353046.25</v>
      </c>
      <c r="Z79">
        <f t="shared" si="17"/>
        <v>399675</v>
      </c>
      <c r="AA79">
        <f t="shared" si="17"/>
        <v>432981.25</v>
      </c>
      <c r="AB79">
        <f t="shared" si="17"/>
        <v>466287.5</v>
      </c>
    </row>
    <row r="80" spans="1:28" x14ac:dyDescent="0.25">
      <c r="A80" s="70"/>
      <c r="B80" s="71" t="s">
        <v>179</v>
      </c>
      <c r="C80" s="55">
        <v>1</v>
      </c>
      <c r="D80" s="55"/>
      <c r="E80" s="55"/>
      <c r="F80" s="55"/>
      <c r="G80" s="55"/>
      <c r="H80" s="55"/>
      <c r="I80" s="55"/>
      <c r="K80" s="153" t="s">
        <v>116</v>
      </c>
      <c r="L80" s="154">
        <v>26000</v>
      </c>
      <c r="M80" s="156">
        <v>25500</v>
      </c>
      <c r="N80" s="157">
        <v>25500</v>
      </c>
      <c r="O80" s="157">
        <v>25000</v>
      </c>
      <c r="P80" s="157">
        <v>25000</v>
      </c>
      <c r="Q80" s="55">
        <v>25000</v>
      </c>
      <c r="R80" s="55">
        <v>24900</v>
      </c>
      <c r="S80" s="55">
        <v>24800</v>
      </c>
      <c r="U80">
        <f>L80*$M$104</f>
        <v>390039.00000000006</v>
      </c>
      <c r="V80">
        <f t="shared" ref="V80:AB80" si="18">M80*$M$104</f>
        <v>382538.25000000006</v>
      </c>
      <c r="W80">
        <f t="shared" si="18"/>
        <v>382538.25000000006</v>
      </c>
      <c r="X80">
        <f t="shared" si="18"/>
        <v>375037.50000000006</v>
      </c>
      <c r="Y80">
        <f t="shared" si="18"/>
        <v>375037.50000000006</v>
      </c>
      <c r="Z80">
        <f t="shared" si="18"/>
        <v>375037.50000000006</v>
      </c>
      <c r="AA80">
        <f t="shared" si="18"/>
        <v>373537.35000000003</v>
      </c>
      <c r="AB80">
        <f t="shared" si="18"/>
        <v>372037.20000000007</v>
      </c>
    </row>
    <row r="81" spans="1:28" x14ac:dyDescent="0.25">
      <c r="A81" s="70"/>
      <c r="B81" s="71" t="s">
        <v>180</v>
      </c>
      <c r="C81" s="55">
        <v>0.85</v>
      </c>
      <c r="D81" s="55">
        <v>0.09</v>
      </c>
      <c r="E81" s="55"/>
      <c r="F81" s="55"/>
      <c r="G81" s="55">
        <v>0.06</v>
      </c>
      <c r="H81" s="55"/>
      <c r="I81" s="55"/>
      <c r="K81" s="153" t="s">
        <v>214</v>
      </c>
      <c r="L81" s="154">
        <v>2600</v>
      </c>
      <c r="M81" s="154">
        <v>2700</v>
      </c>
      <c r="N81" s="154">
        <v>2700</v>
      </c>
      <c r="O81" s="154">
        <v>2800</v>
      </c>
      <c r="P81" s="154">
        <v>2900</v>
      </c>
      <c r="Q81" s="55">
        <v>3000</v>
      </c>
      <c r="R81" s="55">
        <v>3000</v>
      </c>
      <c r="S81" s="55">
        <v>3000</v>
      </c>
      <c r="U81">
        <f>L81*$M$103</f>
        <v>49964.85</v>
      </c>
      <c r="V81">
        <f t="shared" ref="V81:AB81" si="19">M81*$M$103</f>
        <v>51886.574999999997</v>
      </c>
      <c r="W81">
        <f t="shared" si="19"/>
        <v>51886.574999999997</v>
      </c>
      <c r="X81">
        <f t="shared" si="19"/>
        <v>53808.3</v>
      </c>
      <c r="Y81">
        <f t="shared" si="19"/>
        <v>55730.025000000001</v>
      </c>
      <c r="Z81">
        <f t="shared" si="19"/>
        <v>57651.75</v>
      </c>
      <c r="AA81">
        <f t="shared" si="19"/>
        <v>57651.75</v>
      </c>
      <c r="AB81">
        <f t="shared" si="19"/>
        <v>57651.75</v>
      </c>
    </row>
    <row r="82" spans="1:28" x14ac:dyDescent="0.25">
      <c r="A82" s="70"/>
      <c r="B82" s="71" t="s">
        <v>184</v>
      </c>
      <c r="C82" s="55">
        <v>1</v>
      </c>
      <c r="D82" s="55"/>
      <c r="E82" s="55"/>
      <c r="F82" s="55"/>
      <c r="G82" s="55"/>
      <c r="H82" s="55"/>
      <c r="I82" s="55"/>
      <c r="K82" s="158" t="s">
        <v>336</v>
      </c>
      <c r="L82" s="159">
        <v>5300000</v>
      </c>
      <c r="M82" s="159">
        <v>5500000</v>
      </c>
      <c r="N82" s="159">
        <v>5700000</v>
      </c>
      <c r="O82" s="159">
        <v>5800000</v>
      </c>
      <c r="P82" s="159">
        <v>5950000</v>
      </c>
      <c r="Q82" s="149">
        <v>6100000</v>
      </c>
      <c r="R82" s="149">
        <v>6300000</v>
      </c>
      <c r="S82" s="149">
        <v>6500000</v>
      </c>
      <c r="U82">
        <f>L82*$M$106</f>
        <v>3830310</v>
      </c>
      <c r="V82">
        <f t="shared" ref="V82:AB82" si="20">M82*$M$106</f>
        <v>3974850</v>
      </c>
      <c r="W82">
        <f t="shared" si="20"/>
        <v>4119390</v>
      </c>
      <c r="X82">
        <f t="shared" si="20"/>
        <v>4191660</v>
      </c>
      <c r="Y82">
        <f t="shared" si="20"/>
        <v>4300065</v>
      </c>
      <c r="Z82">
        <f t="shared" si="20"/>
        <v>4408470</v>
      </c>
      <c r="AA82">
        <f t="shared" si="20"/>
        <v>4553010</v>
      </c>
      <c r="AB82">
        <f t="shared" si="20"/>
        <v>4697550</v>
      </c>
    </row>
    <row r="83" spans="1:28" x14ac:dyDescent="0.25">
      <c r="A83" s="70"/>
      <c r="B83" s="71" t="s">
        <v>185</v>
      </c>
      <c r="C83" s="55">
        <v>1</v>
      </c>
      <c r="D83" s="55"/>
      <c r="E83" s="55"/>
      <c r="F83" s="55"/>
      <c r="G83" s="55"/>
      <c r="H83" s="55"/>
      <c r="I83" s="55"/>
      <c r="K83" s="158" t="s">
        <v>337</v>
      </c>
      <c r="L83" s="159">
        <v>650000</v>
      </c>
      <c r="M83" s="160">
        <v>675000</v>
      </c>
      <c r="N83" s="160">
        <v>685000</v>
      </c>
      <c r="O83" s="160">
        <v>690000</v>
      </c>
      <c r="P83" s="160">
        <v>710000</v>
      </c>
      <c r="Q83" s="150">
        <v>725000</v>
      </c>
      <c r="R83" s="150">
        <v>737500</v>
      </c>
      <c r="S83" s="150">
        <v>750000</v>
      </c>
      <c r="U83">
        <f>L83*$M$108</f>
        <v>350181</v>
      </c>
      <c r="V83">
        <f t="shared" ref="V83:AB83" si="21">M83*$M$108</f>
        <v>363649.5</v>
      </c>
      <c r="W83">
        <f t="shared" si="21"/>
        <v>369036.9</v>
      </c>
      <c r="X83">
        <f t="shared" si="21"/>
        <v>371730.6</v>
      </c>
      <c r="Y83">
        <f t="shared" si="21"/>
        <v>382505.4</v>
      </c>
      <c r="Z83">
        <f t="shared" si="21"/>
        <v>390586.5</v>
      </c>
      <c r="AA83">
        <f t="shared" si="21"/>
        <v>397320.75</v>
      </c>
      <c r="AB83">
        <f t="shared" si="21"/>
        <v>404055</v>
      </c>
    </row>
    <row r="84" spans="1:28" x14ac:dyDescent="0.25">
      <c r="A84" s="70"/>
      <c r="B84" s="71" t="s">
        <v>186</v>
      </c>
      <c r="C84" s="55">
        <v>1</v>
      </c>
      <c r="D84" s="55"/>
      <c r="E84" s="55"/>
      <c r="F84" s="55"/>
      <c r="G84" s="55"/>
      <c r="H84" s="55"/>
      <c r="I84" s="55"/>
      <c r="K84" s="158" t="s">
        <v>90</v>
      </c>
      <c r="L84" s="161">
        <v>6000</v>
      </c>
      <c r="M84" s="161">
        <v>7000</v>
      </c>
      <c r="N84" s="161">
        <v>8000</v>
      </c>
      <c r="O84" s="161">
        <v>9000</v>
      </c>
      <c r="P84" s="159">
        <v>10500</v>
      </c>
      <c r="Q84" s="150">
        <v>12000</v>
      </c>
      <c r="R84" s="150">
        <v>12500</v>
      </c>
      <c r="S84" s="150">
        <v>13000</v>
      </c>
      <c r="U84">
        <f>L84*$M$109</f>
        <v>4544.25</v>
      </c>
      <c r="V84">
        <f t="shared" ref="V84:AB84" si="22">M84*$M$109</f>
        <v>5301.625</v>
      </c>
      <c r="W84">
        <f t="shared" si="22"/>
        <v>6059</v>
      </c>
      <c r="X84">
        <f t="shared" si="22"/>
        <v>6816.375</v>
      </c>
      <c r="Y84">
        <f t="shared" si="22"/>
        <v>7952.4375</v>
      </c>
      <c r="Z84">
        <f t="shared" si="22"/>
        <v>9088.5</v>
      </c>
      <c r="AA84">
        <f t="shared" si="22"/>
        <v>9467.1875</v>
      </c>
      <c r="AB84">
        <f t="shared" si="22"/>
        <v>9845.875</v>
      </c>
    </row>
    <row r="85" spans="1:28" x14ac:dyDescent="0.25">
      <c r="A85" s="70"/>
      <c r="B85" s="71" t="s">
        <v>187</v>
      </c>
      <c r="C85" s="55">
        <v>1</v>
      </c>
      <c r="D85" s="55"/>
      <c r="E85" s="55"/>
      <c r="F85" s="55"/>
      <c r="G85" s="55"/>
      <c r="H85" s="55"/>
      <c r="I85" s="55"/>
      <c r="K85" s="162" t="s">
        <v>347</v>
      </c>
      <c r="L85" s="159">
        <f>L83+L84</f>
        <v>656000</v>
      </c>
      <c r="M85" s="159">
        <f t="shared" ref="M85:S85" si="23">M83+M84</f>
        <v>682000</v>
      </c>
      <c r="N85" s="159">
        <f t="shared" si="23"/>
        <v>693000</v>
      </c>
      <c r="O85" s="159">
        <f t="shared" si="23"/>
        <v>699000</v>
      </c>
      <c r="P85" s="159">
        <f t="shared" si="23"/>
        <v>720500</v>
      </c>
      <c r="Q85" s="159">
        <f t="shared" si="23"/>
        <v>737000</v>
      </c>
      <c r="R85" s="159">
        <f t="shared" si="23"/>
        <v>750000</v>
      </c>
      <c r="S85" s="159">
        <f t="shared" si="23"/>
        <v>763000</v>
      </c>
    </row>
    <row r="86" spans="1:28" x14ac:dyDescent="0.25">
      <c r="A86" s="72">
        <v>24</v>
      </c>
      <c r="B86" s="73" t="s">
        <v>177</v>
      </c>
      <c r="C86" s="55">
        <v>1</v>
      </c>
      <c r="D86" s="55"/>
      <c r="E86" s="55"/>
      <c r="F86" s="55"/>
      <c r="G86" s="55"/>
      <c r="H86" s="55"/>
      <c r="I86" s="55"/>
      <c r="K86" s="153" t="s">
        <v>106</v>
      </c>
      <c r="L86" s="154">
        <v>21000</v>
      </c>
      <c r="M86" s="154">
        <v>22000</v>
      </c>
      <c r="N86" s="154">
        <v>22000</v>
      </c>
      <c r="O86" s="154">
        <v>22500</v>
      </c>
      <c r="P86" s="154">
        <v>22750</v>
      </c>
      <c r="Q86" s="55">
        <v>23000</v>
      </c>
      <c r="R86" s="55">
        <v>23000</v>
      </c>
      <c r="S86" s="55">
        <v>23000</v>
      </c>
      <c r="U86">
        <f>L86*$K$102</f>
        <v>2625000</v>
      </c>
      <c r="V86">
        <f t="shared" ref="V86:AB86" si="24">M86*$K$102</f>
        <v>2750000</v>
      </c>
      <c r="W86">
        <f t="shared" si="24"/>
        <v>2750000</v>
      </c>
      <c r="X86">
        <f t="shared" si="24"/>
        <v>2812500</v>
      </c>
      <c r="Y86">
        <f t="shared" si="24"/>
        <v>2843750</v>
      </c>
      <c r="Z86">
        <f t="shared" si="24"/>
        <v>2875000</v>
      </c>
      <c r="AA86">
        <f t="shared" si="24"/>
        <v>2875000</v>
      </c>
      <c r="AB86">
        <f t="shared" si="24"/>
        <v>2875000</v>
      </c>
    </row>
    <row r="87" spans="1:28" x14ac:dyDescent="0.25">
      <c r="A87" s="72"/>
      <c r="B87" s="73" t="s">
        <v>205</v>
      </c>
      <c r="C87" s="55">
        <v>1</v>
      </c>
      <c r="D87" s="55"/>
      <c r="E87" s="55"/>
      <c r="F87" s="55"/>
      <c r="G87" s="55"/>
      <c r="H87" s="55"/>
      <c r="I87" s="55"/>
      <c r="K87" s="153" t="s">
        <v>338</v>
      </c>
      <c r="L87" s="154">
        <v>16000</v>
      </c>
      <c r="M87" s="154">
        <v>15000</v>
      </c>
      <c r="N87" s="154">
        <v>15000</v>
      </c>
      <c r="O87" s="154">
        <v>15250</v>
      </c>
      <c r="P87" s="154">
        <v>15350</v>
      </c>
      <c r="Q87" s="55">
        <v>15500</v>
      </c>
      <c r="R87" s="55">
        <v>15750</v>
      </c>
      <c r="S87" s="55">
        <v>16000</v>
      </c>
      <c r="U87">
        <f>L87*$M$110</f>
        <v>409968</v>
      </c>
      <c r="V87">
        <f t="shared" ref="V87:AB87" si="25">M87*$M$110</f>
        <v>384345</v>
      </c>
      <c r="W87">
        <f t="shared" si="25"/>
        <v>384345</v>
      </c>
      <c r="X87">
        <f t="shared" si="25"/>
        <v>390750.75</v>
      </c>
      <c r="Y87">
        <f t="shared" si="25"/>
        <v>393313.05</v>
      </c>
      <c r="Z87">
        <f t="shared" si="25"/>
        <v>397156.5</v>
      </c>
      <c r="AA87">
        <f t="shared" si="25"/>
        <v>403562.25</v>
      </c>
      <c r="AB87">
        <f t="shared" si="25"/>
        <v>409968</v>
      </c>
    </row>
    <row r="88" spans="1:28" x14ac:dyDescent="0.25">
      <c r="A88" s="72"/>
      <c r="B88" s="73" t="s">
        <v>179</v>
      </c>
      <c r="C88" s="55">
        <v>1</v>
      </c>
      <c r="D88" s="55"/>
      <c r="E88" s="55"/>
      <c r="F88" s="55"/>
      <c r="G88" s="55"/>
      <c r="H88" s="55"/>
      <c r="I88" s="55"/>
    </row>
    <row r="89" spans="1:28" x14ac:dyDescent="0.25">
      <c r="A89" s="72"/>
      <c r="B89" s="73" t="s">
        <v>180</v>
      </c>
      <c r="C89" s="55">
        <v>1</v>
      </c>
      <c r="D89" s="55"/>
      <c r="E89" s="55"/>
      <c r="F89" s="55"/>
      <c r="G89" s="55"/>
      <c r="H89" s="55"/>
      <c r="I89" s="55"/>
      <c r="U89" s="8">
        <f>SUM(U77:U84)</f>
        <v>5525640.0999999996</v>
      </c>
      <c r="V89" s="8">
        <f t="shared" ref="V89:AB89" si="26">SUM(V77:V84)</f>
        <v>5654846.4500000002</v>
      </c>
      <c r="W89" s="8">
        <f t="shared" si="26"/>
        <v>5786879.7250000006</v>
      </c>
      <c r="X89" s="8">
        <f t="shared" si="26"/>
        <v>5854357.2749999994</v>
      </c>
      <c r="Y89" s="8">
        <f t="shared" si="26"/>
        <v>6023223.6125000007</v>
      </c>
      <c r="Z89" s="8">
        <f t="shared" si="26"/>
        <v>6189396.25</v>
      </c>
      <c r="AA89" s="8">
        <f t="shared" si="26"/>
        <v>6376319.1375000002</v>
      </c>
      <c r="AB89" s="8">
        <f t="shared" si="26"/>
        <v>6563242.0250000004</v>
      </c>
    </row>
    <row r="90" spans="1:28" x14ac:dyDescent="0.25">
      <c r="A90" s="72"/>
      <c r="B90" s="73" t="s">
        <v>184</v>
      </c>
      <c r="C90" s="55">
        <v>0.5</v>
      </c>
      <c r="D90" s="55"/>
      <c r="E90" s="55"/>
      <c r="F90" s="55">
        <v>0.25</v>
      </c>
      <c r="G90" s="55">
        <v>0.25</v>
      </c>
      <c r="H90" s="55"/>
      <c r="I90" s="55"/>
      <c r="T90" t="s">
        <v>389</v>
      </c>
      <c r="U90" s="8">
        <f>U89*$P$116</f>
        <v>3501522.5645859241</v>
      </c>
      <c r="V90" s="8">
        <f t="shared" ref="V90:AB90" si="27">V89*$P$116</f>
        <v>3583398.8615986062</v>
      </c>
      <c r="W90" s="8">
        <f t="shared" si="27"/>
        <v>3667066.5423237192</v>
      </c>
      <c r="X90" s="8">
        <f t="shared" si="27"/>
        <v>3709826.1429585796</v>
      </c>
      <c r="Y90" s="8">
        <f t="shared" si="27"/>
        <v>3816834.4316734448</v>
      </c>
      <c r="Z90" s="8">
        <f t="shared" si="27"/>
        <v>3922135.7595364386</v>
      </c>
      <c r="AA90" s="8">
        <f t="shared" si="27"/>
        <v>4040586.2370510357</v>
      </c>
      <c r="AB90" s="8">
        <f t="shared" si="27"/>
        <v>4159036.7145656329</v>
      </c>
    </row>
    <row r="91" spans="1:28" x14ac:dyDescent="0.25">
      <c r="A91" s="72"/>
      <c r="B91" s="73" t="s">
        <v>185</v>
      </c>
      <c r="C91" s="55">
        <v>0.5</v>
      </c>
      <c r="D91" s="55"/>
      <c r="E91" s="55"/>
      <c r="F91" s="55">
        <v>0.25</v>
      </c>
      <c r="G91" s="55">
        <v>0.25</v>
      </c>
      <c r="H91" s="55"/>
      <c r="I91" s="55"/>
      <c r="T91" t="s">
        <v>390</v>
      </c>
      <c r="U91" s="8">
        <f>U87+$P$105</f>
        <v>464088.0465</v>
      </c>
      <c r="V91" s="8">
        <f t="shared" ref="V91:AB91" si="28">V87+$P$105</f>
        <v>438465.0465</v>
      </c>
      <c r="W91" s="8">
        <f t="shared" si="28"/>
        <v>438465.0465</v>
      </c>
      <c r="X91" s="8">
        <f t="shared" si="28"/>
        <v>444870.7965</v>
      </c>
      <c r="Y91" s="8">
        <f t="shared" si="28"/>
        <v>447433.09649999999</v>
      </c>
      <c r="Z91" s="8">
        <f t="shared" si="28"/>
        <v>451276.5465</v>
      </c>
      <c r="AA91" s="8">
        <f t="shared" si="28"/>
        <v>457682.2965</v>
      </c>
      <c r="AB91" s="8">
        <f t="shared" si="28"/>
        <v>464088.0465</v>
      </c>
    </row>
    <row r="92" spans="1:28" x14ac:dyDescent="0.25">
      <c r="A92" s="72"/>
      <c r="B92" s="73" t="s">
        <v>186</v>
      </c>
      <c r="C92" s="55">
        <v>0.5</v>
      </c>
      <c r="D92" s="55"/>
      <c r="E92" s="55"/>
      <c r="F92" s="55">
        <v>0.25</v>
      </c>
      <c r="G92" s="55">
        <v>0.25</v>
      </c>
      <c r="H92" s="55"/>
      <c r="I92" s="55"/>
      <c r="J92" t="s">
        <v>385</v>
      </c>
      <c r="P92" s="180" t="s">
        <v>387</v>
      </c>
      <c r="Q92" t="s">
        <v>388</v>
      </c>
      <c r="R92" t="s">
        <v>291</v>
      </c>
      <c r="S92">
        <f>LStock_Options!E11</f>
        <v>0.02</v>
      </c>
      <c r="T92" t="s">
        <v>388</v>
      </c>
      <c r="U92">
        <f>(U77+U78)*$S$92</f>
        <v>12683.02</v>
      </c>
      <c r="V92">
        <f t="shared" ref="V92:AB92" si="29">(V77+V78)*$S$92</f>
        <v>11936.960000000001</v>
      </c>
      <c r="W92">
        <f t="shared" si="29"/>
        <v>11297.48</v>
      </c>
      <c r="X92">
        <f t="shared" si="29"/>
        <v>10977.74</v>
      </c>
      <c r="Y92">
        <f t="shared" si="29"/>
        <v>10977.74</v>
      </c>
      <c r="Z92">
        <f t="shared" si="29"/>
        <v>10977.74</v>
      </c>
      <c r="AA92">
        <f t="shared" si="29"/>
        <v>11047.017</v>
      </c>
      <c r="AB92">
        <f t="shared" si="29"/>
        <v>11116.294</v>
      </c>
    </row>
    <row r="93" spans="1:28" x14ac:dyDescent="0.25">
      <c r="A93" s="72"/>
      <c r="B93" s="73" t="s">
        <v>187</v>
      </c>
      <c r="C93" s="55">
        <v>0.5</v>
      </c>
      <c r="D93" s="55"/>
      <c r="E93" s="55"/>
      <c r="F93" s="55">
        <v>0.25</v>
      </c>
      <c r="G93" s="55">
        <v>0.25</v>
      </c>
      <c r="H93" s="55"/>
      <c r="I93" s="55"/>
      <c r="J93" t="s">
        <v>384</v>
      </c>
      <c r="K93" t="s">
        <v>226</v>
      </c>
      <c r="L93" t="s">
        <v>273</v>
      </c>
      <c r="M93" t="s">
        <v>383</v>
      </c>
      <c r="O93" t="s">
        <v>386</v>
      </c>
    </row>
    <row r="94" spans="1:28" x14ac:dyDescent="0.25">
      <c r="A94" s="74">
        <v>25</v>
      </c>
      <c r="B94" s="75" t="s">
        <v>177</v>
      </c>
      <c r="C94" s="55">
        <v>1</v>
      </c>
      <c r="D94" s="55"/>
      <c r="E94" s="55"/>
      <c r="F94" s="55"/>
      <c r="G94" s="55"/>
      <c r="H94" s="55"/>
      <c r="I94" s="55"/>
      <c r="J94">
        <f>'Ls2013'!C9</f>
        <v>2874</v>
      </c>
      <c r="K94">
        <v>400</v>
      </c>
      <c r="L94">
        <v>0.73</v>
      </c>
      <c r="M94">
        <f>K94*365*L94/1000</f>
        <v>106.58</v>
      </c>
      <c r="O94" s="8">
        <f>J94*M94</f>
        <v>306310.92</v>
      </c>
      <c r="R94" s="8">
        <f>O94</f>
        <v>306310.92</v>
      </c>
    </row>
    <row r="95" spans="1:28" x14ac:dyDescent="0.25">
      <c r="A95" s="74"/>
      <c r="B95" s="75" t="s">
        <v>205</v>
      </c>
      <c r="C95" s="55">
        <v>1</v>
      </c>
      <c r="D95" s="55"/>
      <c r="E95" s="55"/>
      <c r="F95" s="55"/>
      <c r="G95" s="55"/>
      <c r="H95" s="55"/>
      <c r="I95" s="55"/>
      <c r="J95">
        <f>'Ls2013'!F10</f>
        <v>2267</v>
      </c>
      <c r="K95">
        <v>200</v>
      </c>
      <c r="L95">
        <v>0.73</v>
      </c>
      <c r="M95">
        <f t="shared" ref="M95:M110" si="30">K95*365*L95/1000</f>
        <v>53.29</v>
      </c>
      <c r="O95" s="8">
        <f t="shared" ref="O95:O110" si="31">J95*M95</f>
        <v>120808.43</v>
      </c>
      <c r="R95" s="8">
        <f t="shared" ref="R95:R98" si="32">O95</f>
        <v>120808.43</v>
      </c>
    </row>
    <row r="96" spans="1:28" x14ac:dyDescent="0.25">
      <c r="A96" s="74"/>
      <c r="B96" s="75" t="s">
        <v>179</v>
      </c>
      <c r="C96" s="55">
        <v>1</v>
      </c>
      <c r="D96" s="55"/>
      <c r="E96" s="55"/>
      <c r="F96" s="55"/>
      <c r="G96" s="55"/>
      <c r="H96" s="55"/>
      <c r="I96" s="55"/>
      <c r="J96">
        <f>'Ls2013'!D9</f>
        <v>516</v>
      </c>
      <c r="K96">
        <v>75</v>
      </c>
      <c r="L96">
        <v>0.73</v>
      </c>
      <c r="M96">
        <f t="shared" si="30"/>
        <v>19.983750000000001</v>
      </c>
      <c r="O96" s="8">
        <f t="shared" si="31"/>
        <v>10311.615</v>
      </c>
      <c r="R96" s="8">
        <f t="shared" si="32"/>
        <v>10311.615</v>
      </c>
    </row>
    <row r="97" spans="1:18" x14ac:dyDescent="0.25">
      <c r="A97" s="74"/>
      <c r="B97" s="75" t="s">
        <v>180</v>
      </c>
      <c r="C97" s="55">
        <v>1</v>
      </c>
      <c r="D97" s="55"/>
      <c r="E97" s="55"/>
      <c r="F97" s="55"/>
      <c r="G97" s="55"/>
      <c r="H97" s="55"/>
      <c r="I97" s="55"/>
      <c r="J97">
        <f>'Ls2013'!E9</f>
        <v>1583</v>
      </c>
      <c r="K97">
        <v>150</v>
      </c>
      <c r="L97">
        <v>0.73</v>
      </c>
      <c r="M97">
        <f t="shared" si="30"/>
        <v>39.967500000000001</v>
      </c>
      <c r="O97" s="8">
        <f t="shared" si="31"/>
        <v>63268.552500000005</v>
      </c>
      <c r="R97" s="8">
        <f t="shared" si="32"/>
        <v>63268.552500000005</v>
      </c>
    </row>
    <row r="98" spans="1:18" x14ac:dyDescent="0.25">
      <c r="A98" s="74"/>
      <c r="B98" s="75" t="s">
        <v>181</v>
      </c>
      <c r="C98" s="55"/>
      <c r="D98" s="55"/>
      <c r="E98" s="55">
        <v>1</v>
      </c>
      <c r="F98" s="55"/>
      <c r="G98" s="55"/>
      <c r="H98" s="55"/>
      <c r="I98" s="55"/>
      <c r="J98">
        <f>'Ls2013'!F7</f>
        <v>1761</v>
      </c>
      <c r="K98">
        <v>500</v>
      </c>
      <c r="L98">
        <v>0.73</v>
      </c>
      <c r="M98">
        <f t="shared" si="30"/>
        <v>133.22499999999999</v>
      </c>
      <c r="O98" s="8">
        <f t="shared" si="31"/>
        <v>234609.22499999998</v>
      </c>
      <c r="Q98" s="8"/>
      <c r="R98" s="8">
        <f t="shared" si="32"/>
        <v>234609.22499999998</v>
      </c>
    </row>
    <row r="99" spans="1:18" x14ac:dyDescent="0.25">
      <c r="A99" s="74"/>
      <c r="B99" s="75" t="s">
        <v>184</v>
      </c>
      <c r="C99" s="55">
        <v>0.5</v>
      </c>
      <c r="D99" s="55"/>
      <c r="E99" s="55"/>
      <c r="F99" s="55">
        <v>0.5</v>
      </c>
      <c r="G99" s="55"/>
      <c r="H99" s="55"/>
      <c r="I99" s="55"/>
      <c r="J99">
        <f>'Ls2013'!C20</f>
        <v>329</v>
      </c>
      <c r="K99">
        <v>150</v>
      </c>
      <c r="L99">
        <v>0.55000000000000004</v>
      </c>
      <c r="M99">
        <f t="shared" si="30"/>
        <v>30.112500000000004</v>
      </c>
      <c r="O99" s="8">
        <f t="shared" si="31"/>
        <v>9907.0125000000007</v>
      </c>
      <c r="R99" s="8">
        <f>O99*C99</f>
        <v>4953.5062500000004</v>
      </c>
    </row>
    <row r="100" spans="1:18" x14ac:dyDescent="0.25">
      <c r="A100" s="74"/>
      <c r="B100" s="75" t="s">
        <v>185</v>
      </c>
      <c r="C100" s="55">
        <v>0.5</v>
      </c>
      <c r="D100" s="55"/>
      <c r="E100" s="55"/>
      <c r="F100" s="55">
        <v>0.5</v>
      </c>
      <c r="G100" s="55"/>
      <c r="H100" s="55"/>
      <c r="I100" s="55"/>
      <c r="J100">
        <f>'Ls2013'!F20</f>
        <v>8747</v>
      </c>
      <c r="K100">
        <v>90</v>
      </c>
      <c r="L100">
        <v>1.57</v>
      </c>
      <c r="M100">
        <f t="shared" si="30"/>
        <v>51.5745</v>
      </c>
      <c r="O100" s="8">
        <f t="shared" si="31"/>
        <v>451122.15149999998</v>
      </c>
      <c r="R100" s="8">
        <f t="shared" ref="R100:R104" si="33">O100*C100</f>
        <v>225561.07574999999</v>
      </c>
    </row>
    <row r="101" spans="1:18" x14ac:dyDescent="0.25">
      <c r="A101" s="74"/>
      <c r="B101" s="75" t="s">
        <v>186</v>
      </c>
      <c r="C101" s="55">
        <v>0.5</v>
      </c>
      <c r="D101" s="55"/>
      <c r="E101" s="55"/>
      <c r="F101" s="55">
        <v>0.5</v>
      </c>
      <c r="G101" s="55"/>
      <c r="H101" s="55"/>
      <c r="I101" s="55"/>
      <c r="J101">
        <f>'Ls2013'!E20</f>
        <v>3944</v>
      </c>
      <c r="K101">
        <v>13</v>
      </c>
      <c r="L101">
        <v>1.57</v>
      </c>
      <c r="M101">
        <f t="shared" si="30"/>
        <v>7.4496500000000001</v>
      </c>
      <c r="O101" s="8">
        <f t="shared" si="31"/>
        <v>29381.419600000001</v>
      </c>
      <c r="R101" s="8">
        <f t="shared" si="33"/>
        <v>14690.709800000001</v>
      </c>
    </row>
    <row r="102" spans="1:18" x14ac:dyDescent="0.25">
      <c r="A102" s="74"/>
      <c r="B102" s="75" t="s">
        <v>187</v>
      </c>
      <c r="C102" s="55">
        <v>0.5</v>
      </c>
      <c r="D102" s="55"/>
      <c r="E102" s="55"/>
      <c r="F102" s="55">
        <v>0.5</v>
      </c>
      <c r="G102" s="55"/>
      <c r="H102" s="55"/>
      <c r="I102" s="55"/>
      <c r="J102">
        <f>'Ls2013'!D20</f>
        <v>2941</v>
      </c>
      <c r="K102">
        <v>125</v>
      </c>
      <c r="L102">
        <v>0.55000000000000004</v>
      </c>
      <c r="M102">
        <f t="shared" si="30"/>
        <v>25.093750000000004</v>
      </c>
      <c r="O102" s="8">
        <f t="shared" si="31"/>
        <v>73800.718750000015</v>
      </c>
      <c r="R102" s="8">
        <f t="shared" si="33"/>
        <v>36900.359375000007</v>
      </c>
    </row>
    <row r="103" spans="1:18" x14ac:dyDescent="0.25">
      <c r="A103" s="76" t="s">
        <v>202</v>
      </c>
      <c r="B103" s="77" t="s">
        <v>114</v>
      </c>
      <c r="C103" s="55">
        <v>0.99</v>
      </c>
      <c r="D103" s="55"/>
      <c r="E103" s="55">
        <v>0.01</v>
      </c>
      <c r="F103" s="55"/>
      <c r="G103" s="55"/>
      <c r="H103" s="55"/>
      <c r="I103" s="55"/>
      <c r="J103" s="178">
        <f>'Master Table 2006 2013'!J17</f>
        <v>2539.5</v>
      </c>
      <c r="K103">
        <v>45</v>
      </c>
      <c r="L103">
        <v>1.17</v>
      </c>
      <c r="M103">
        <f t="shared" si="30"/>
        <v>19.21725</v>
      </c>
      <c r="O103" s="8">
        <f t="shared" si="31"/>
        <v>48802.206375000002</v>
      </c>
      <c r="R103" s="8">
        <f t="shared" si="33"/>
        <v>48314.184311249999</v>
      </c>
    </row>
    <row r="104" spans="1:18" x14ac:dyDescent="0.25">
      <c r="A104" s="77"/>
      <c r="B104" s="77" t="s">
        <v>116</v>
      </c>
      <c r="C104" s="55">
        <v>0.97</v>
      </c>
      <c r="D104" s="55"/>
      <c r="E104" s="55">
        <v>0.03</v>
      </c>
      <c r="F104" s="55"/>
      <c r="G104" s="55"/>
      <c r="H104" s="55"/>
      <c r="I104" s="55"/>
      <c r="J104" s="178">
        <f>'Master Table 2006 2013'!J12</f>
        <v>25932.75</v>
      </c>
      <c r="K104">
        <v>30</v>
      </c>
      <c r="L104">
        <v>1.37</v>
      </c>
      <c r="M104">
        <f>K104*365*L104/1000</f>
        <v>15.001500000000002</v>
      </c>
      <c r="O104" s="8">
        <f t="shared" si="31"/>
        <v>389030.14912500005</v>
      </c>
      <c r="R104" s="8">
        <f t="shared" si="33"/>
        <v>377359.24465125002</v>
      </c>
    </row>
    <row r="105" spans="1:18" x14ac:dyDescent="0.25">
      <c r="A105" s="77"/>
      <c r="B105" s="77" t="s">
        <v>78</v>
      </c>
      <c r="C105" s="55"/>
      <c r="D105" s="55">
        <v>1</v>
      </c>
      <c r="E105" s="55"/>
      <c r="F105" s="55"/>
      <c r="G105" s="55"/>
      <c r="H105" s="55"/>
      <c r="I105" s="55"/>
      <c r="J105">
        <f>'Master Table 2006 2013'!J44</f>
        <v>855</v>
      </c>
      <c r="K105">
        <v>377</v>
      </c>
      <c r="L105">
        <v>0.46</v>
      </c>
      <c r="M105">
        <f t="shared" si="30"/>
        <v>63.298300000000005</v>
      </c>
      <c r="O105" s="179">
        <f t="shared" si="31"/>
        <v>54120.046500000004</v>
      </c>
      <c r="P105" s="8">
        <f>O105</f>
        <v>54120.046500000004</v>
      </c>
    </row>
    <row r="106" spans="1:18" x14ac:dyDescent="0.25">
      <c r="A106" s="77"/>
      <c r="B106" s="77" t="s">
        <v>188</v>
      </c>
      <c r="C106" s="55"/>
      <c r="D106" s="55"/>
      <c r="E106" s="55"/>
      <c r="F106" s="55"/>
      <c r="G106" s="55"/>
      <c r="H106" s="55">
        <v>1</v>
      </c>
      <c r="I106" s="55"/>
      <c r="J106">
        <f>'Master Table 2006 2013'!J25</f>
        <v>5200000</v>
      </c>
      <c r="K106">
        <v>1.8</v>
      </c>
      <c r="L106">
        <v>1.1000000000000001</v>
      </c>
      <c r="M106">
        <f t="shared" si="30"/>
        <v>0.72270000000000001</v>
      </c>
      <c r="O106" s="8">
        <f t="shared" si="31"/>
        <v>3758040</v>
      </c>
    </row>
    <row r="107" spans="1:18" x14ac:dyDescent="0.25">
      <c r="A107" s="77"/>
      <c r="B107" s="77" t="s">
        <v>189</v>
      </c>
      <c r="C107" s="55"/>
      <c r="D107" s="55"/>
      <c r="E107" s="55"/>
      <c r="F107" s="55"/>
      <c r="G107" s="55"/>
      <c r="H107" s="55">
        <v>1</v>
      </c>
      <c r="I107" s="55"/>
      <c r="J107" s="178">
        <f>'Master Table 2006 2013'!J26</f>
        <v>104000</v>
      </c>
      <c r="K107">
        <v>2.1</v>
      </c>
      <c r="L107">
        <v>0.82</v>
      </c>
      <c r="M107">
        <f t="shared" si="30"/>
        <v>0.62852999999999992</v>
      </c>
      <c r="O107" s="8">
        <f t="shared" si="31"/>
        <v>65367.119999999995</v>
      </c>
    </row>
    <row r="108" spans="1:18" x14ac:dyDescent="0.25">
      <c r="A108" s="77"/>
      <c r="B108" s="77" t="s">
        <v>190</v>
      </c>
      <c r="C108" s="55"/>
      <c r="D108" s="55"/>
      <c r="E108" s="55"/>
      <c r="F108" s="55"/>
      <c r="G108" s="55"/>
      <c r="H108" s="55">
        <v>0.35</v>
      </c>
      <c r="I108" s="55">
        <v>0.65</v>
      </c>
      <c r="J108" s="178">
        <f>'Master Table 2006 2013'!J32</f>
        <v>687283.33333333337</v>
      </c>
      <c r="K108">
        <v>1.8</v>
      </c>
      <c r="L108">
        <v>0.82</v>
      </c>
      <c r="M108">
        <f t="shared" si="30"/>
        <v>0.53874</v>
      </c>
      <c r="O108" s="8">
        <f t="shared" si="31"/>
        <v>370267.02300000004</v>
      </c>
    </row>
    <row r="109" spans="1:18" x14ac:dyDescent="0.25">
      <c r="A109" s="77"/>
      <c r="B109" s="77" t="s">
        <v>90</v>
      </c>
      <c r="C109" s="55"/>
      <c r="D109" s="55"/>
      <c r="E109" s="55"/>
      <c r="F109" s="55"/>
      <c r="G109" s="55"/>
      <c r="H109" s="55">
        <v>0.15</v>
      </c>
      <c r="I109" s="55">
        <v>0.85</v>
      </c>
      <c r="J109" s="178">
        <f>'Master Table 2006 2013'!J40</f>
        <v>6648.833333333333</v>
      </c>
      <c r="K109">
        <v>2.5</v>
      </c>
      <c r="L109">
        <v>0.83</v>
      </c>
      <c r="M109">
        <f t="shared" si="30"/>
        <v>0.75737500000000002</v>
      </c>
      <c r="O109" s="8">
        <f t="shared" si="31"/>
        <v>5035.6601458333334</v>
      </c>
    </row>
    <row r="110" spans="1:18" x14ac:dyDescent="0.25">
      <c r="A110" s="77"/>
      <c r="B110" s="77" t="s">
        <v>75</v>
      </c>
      <c r="C110" s="55"/>
      <c r="D110" s="55">
        <v>1</v>
      </c>
      <c r="E110" s="55"/>
      <c r="F110" s="55"/>
      <c r="G110" s="55"/>
      <c r="H110" s="55"/>
      <c r="I110" s="55"/>
      <c r="J110" s="8">
        <f>'Master Table 2006 2013'!J46</f>
        <v>16000</v>
      </c>
      <c r="K110">
        <v>60</v>
      </c>
      <c r="L110">
        <v>1.17</v>
      </c>
      <c r="M110">
        <f t="shared" si="30"/>
        <v>25.623000000000001</v>
      </c>
      <c r="O110" s="179">
        <f t="shared" si="31"/>
        <v>409968</v>
      </c>
      <c r="P110" s="8">
        <f>O110</f>
        <v>409968</v>
      </c>
    </row>
    <row r="112" spans="1:18" x14ac:dyDescent="0.25">
      <c r="O112" s="8">
        <f>SUM(O94:O110)</f>
        <v>6400150.2499958333</v>
      </c>
      <c r="P112" s="8">
        <f>SUM(P94:P110)</f>
        <v>464088.0465</v>
      </c>
      <c r="Q112">
        <f>SUM(Q94:Q110)</f>
        <v>0</v>
      </c>
      <c r="R112" s="8">
        <f>SUM(R94:R110)</f>
        <v>1443087.8226375</v>
      </c>
    </row>
    <row r="114" spans="15:16" x14ac:dyDescent="0.25">
      <c r="O114" s="8">
        <f>O112-P112</f>
        <v>5936062.2034958331</v>
      </c>
    </row>
    <row r="115" spans="15:16" x14ac:dyDescent="0.25">
      <c r="O115" s="8">
        <f>O114-O100-O101-O102-O103</f>
        <v>5332955.7072708337</v>
      </c>
    </row>
    <row r="116" spans="15:16" x14ac:dyDescent="0.25">
      <c r="O116">
        <v>3379421.1</v>
      </c>
      <c r="P116">
        <f>O116/O115</f>
        <v>0.63368632433840999</v>
      </c>
    </row>
  </sheetData>
  <mergeCells count="3">
    <mergeCell ref="C2:I2"/>
    <mergeCell ref="C39:I39"/>
    <mergeCell ref="C76:I7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3"/>
  <sheetViews>
    <sheetView topLeftCell="A10" zoomScaleNormal="100" workbookViewId="0">
      <selection activeCell="U15" sqref="U15"/>
    </sheetView>
  </sheetViews>
  <sheetFormatPr defaultRowHeight="15" outlineLevelCol="1" x14ac:dyDescent="0.25"/>
  <cols>
    <col min="1" max="1" width="17.28515625" customWidth="1"/>
    <col min="2" max="2" width="11.7109375" customWidth="1"/>
    <col min="3" max="4" width="11" customWidth="1"/>
    <col min="5" max="5" width="10.85546875" customWidth="1"/>
    <col min="6" max="6" width="9.5703125" bestFit="1" customWidth="1"/>
    <col min="7" max="7" width="9.5703125" customWidth="1" outlineLevel="1"/>
    <col min="8" max="12" width="9.140625" customWidth="1" outlineLevel="1"/>
    <col min="13" max="13" width="11.42578125" customWidth="1" outlineLevel="1"/>
    <col min="14" max="14" width="11.7109375" customWidth="1" outlineLevel="1"/>
    <col min="15" max="21" width="9.140625" customWidth="1" outlineLevel="1"/>
    <col min="22" max="22" width="6.28515625" customWidth="1"/>
    <col min="24" max="24" width="11.85546875" customWidth="1"/>
    <col min="34" max="34" width="12.5703125" customWidth="1"/>
    <col min="35" max="35" width="10.28515625" customWidth="1"/>
    <col min="36" max="36" width="11.28515625" customWidth="1"/>
  </cols>
  <sheetData>
    <row r="1" spans="1:37" x14ac:dyDescent="0.25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37" x14ac:dyDescent="0.25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37" x14ac:dyDescent="0.25">
      <c r="A4" s="5" t="s">
        <v>5</v>
      </c>
      <c r="B4" s="5"/>
      <c r="C4" s="28"/>
      <c r="D4" s="28"/>
    </row>
    <row r="5" spans="1:37" x14ac:dyDescent="0.25">
      <c r="A5" t="s">
        <v>6</v>
      </c>
      <c r="B5" t="s">
        <v>34</v>
      </c>
      <c r="C5" t="s">
        <v>7</v>
      </c>
      <c r="D5" t="s">
        <v>9</v>
      </c>
      <c r="E5" t="s">
        <v>8</v>
      </c>
      <c r="G5" s="109">
        <v>0.02</v>
      </c>
      <c r="H5" s="166" t="s">
        <v>382</v>
      </c>
    </row>
    <row r="6" spans="1:37" x14ac:dyDescent="0.25">
      <c r="A6" t="s">
        <v>12</v>
      </c>
      <c r="C6" t="s">
        <v>30</v>
      </c>
      <c r="D6" s="27" t="s">
        <v>31</v>
      </c>
      <c r="E6">
        <v>0.01</v>
      </c>
    </row>
    <row r="7" spans="1:37" x14ac:dyDescent="0.25">
      <c r="A7" t="s">
        <v>32</v>
      </c>
      <c r="C7" t="s">
        <v>14</v>
      </c>
      <c r="D7" t="s">
        <v>33</v>
      </c>
      <c r="E7" s="26">
        <f>44/28</f>
        <v>1.5714285714285714</v>
      </c>
    </row>
    <row r="8" spans="1:37" x14ac:dyDescent="0.25">
      <c r="A8" t="s">
        <v>154</v>
      </c>
      <c r="C8" t="s">
        <v>30</v>
      </c>
      <c r="D8" t="s">
        <v>31</v>
      </c>
      <c r="E8" s="26">
        <v>0.02</v>
      </c>
    </row>
    <row r="9" spans="1:37" x14ac:dyDescent="0.25">
      <c r="A9" t="s">
        <v>155</v>
      </c>
      <c r="C9" t="s">
        <v>30</v>
      </c>
      <c r="D9" t="s">
        <v>31</v>
      </c>
      <c r="E9" s="26">
        <v>0.01</v>
      </c>
    </row>
    <row r="10" spans="1:37" x14ac:dyDescent="0.25">
      <c r="A10" t="s">
        <v>19</v>
      </c>
      <c r="C10" t="s">
        <v>20</v>
      </c>
      <c r="D10" t="s">
        <v>35</v>
      </c>
      <c r="E10">
        <v>298</v>
      </c>
    </row>
    <row r="11" spans="1:37" x14ac:dyDescent="0.25">
      <c r="W11" s="139" t="s">
        <v>288</v>
      </c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</row>
    <row r="12" spans="1:37" x14ac:dyDescent="0.25">
      <c r="A12" s="5" t="s">
        <v>24</v>
      </c>
      <c r="B12" s="5"/>
    </row>
    <row r="13" spans="1:37" x14ac:dyDescent="0.25">
      <c r="D13" s="190" t="s">
        <v>151</v>
      </c>
      <c r="E13" s="190"/>
      <c r="F13" s="190"/>
      <c r="G13" s="190"/>
      <c r="M13" s="191" t="s">
        <v>160</v>
      </c>
      <c r="N13" s="191"/>
      <c r="O13" s="191"/>
      <c r="P13" s="191"/>
      <c r="Q13" s="191"/>
      <c r="R13" s="191"/>
    </row>
    <row r="14" spans="1:37" ht="60" x14ac:dyDescent="0.25">
      <c r="A14" s="29" t="s">
        <v>0</v>
      </c>
      <c r="B14" s="30" t="s">
        <v>37</v>
      </c>
      <c r="C14" s="30" t="s">
        <v>38</v>
      </c>
      <c r="D14" s="30" t="s">
        <v>39</v>
      </c>
      <c r="E14" s="30" t="s">
        <v>40</v>
      </c>
      <c r="F14" s="30" t="s">
        <v>41</v>
      </c>
      <c r="G14" s="30" t="s">
        <v>42</v>
      </c>
      <c r="H14" s="30" t="s">
        <v>43</v>
      </c>
      <c r="I14" s="30" t="s">
        <v>44</v>
      </c>
      <c r="J14" s="30" t="s">
        <v>45</v>
      </c>
      <c r="K14" s="30" t="s">
        <v>150</v>
      </c>
      <c r="M14" s="30" t="s">
        <v>152</v>
      </c>
      <c r="N14" s="30" t="s">
        <v>153</v>
      </c>
      <c r="O14" s="30" t="s">
        <v>156</v>
      </c>
      <c r="P14" s="30" t="s">
        <v>157</v>
      </c>
      <c r="Q14" s="30" t="s">
        <v>158</v>
      </c>
      <c r="R14" s="30" t="s">
        <v>159</v>
      </c>
      <c r="S14" s="30" t="s">
        <v>150</v>
      </c>
      <c r="U14" s="30" t="s">
        <v>46</v>
      </c>
      <c r="W14" s="30" t="s">
        <v>267</v>
      </c>
      <c r="X14" s="30" t="s">
        <v>37</v>
      </c>
      <c r="Y14" s="30" t="s">
        <v>268</v>
      </c>
      <c r="Z14" s="30" t="s">
        <v>269</v>
      </c>
      <c r="AA14" s="30"/>
    </row>
    <row r="15" spans="1:37" x14ac:dyDescent="0.25">
      <c r="A15">
        <v>2006</v>
      </c>
      <c r="B15" s="32">
        <v>7526219</v>
      </c>
      <c r="C15" s="59">
        <v>3316504</v>
      </c>
      <c r="D15" s="32">
        <v>2933111.5548999999</v>
      </c>
      <c r="E15" s="31">
        <f>B15*$E$6*$E$7/1000</f>
        <v>118.26915571428572</v>
      </c>
      <c r="F15" s="31">
        <f>C15*$E$6*$E$7/1000</f>
        <v>52.116491428571429</v>
      </c>
      <c r="G15" s="31">
        <f t="shared" ref="G15:G43" si="0">D15*$E$6*$E$7/1000</f>
        <v>46.091753005571427</v>
      </c>
      <c r="H15" s="31">
        <f>E15*$E$10/1000</f>
        <v>35.24420840285714</v>
      </c>
      <c r="I15" s="31">
        <f t="shared" ref="I15:J30" si="1">F15*$E$10/1000</f>
        <v>15.530714445714286</v>
      </c>
      <c r="J15" s="31">
        <f t="shared" si="1"/>
        <v>13.735342395660286</v>
      </c>
      <c r="K15" s="31">
        <f>SUM(H15:J15)</f>
        <v>64.510265244231718</v>
      </c>
      <c r="M15" s="60"/>
      <c r="N15" s="59">
        <v>451428.39</v>
      </c>
      <c r="O15">
        <f>M15*$E$8*$E$7/1000</f>
        <v>0</v>
      </c>
      <c r="P15">
        <f>N15*$E$9*$E$7/1000</f>
        <v>7.0938747000000006</v>
      </c>
      <c r="Q15">
        <f>O15*$E$10/1000</f>
        <v>0</v>
      </c>
      <c r="R15">
        <f>P15*$E$10/1000</f>
        <v>2.1139746606000003</v>
      </c>
      <c r="S15">
        <f>Q15+R15</f>
        <v>2.1139746606000003</v>
      </c>
      <c r="U15" s="31">
        <f>K15+S15</f>
        <v>66.624239904831711</v>
      </c>
      <c r="W15" s="7">
        <v>1</v>
      </c>
      <c r="X15" s="8">
        <f>B15*W15</f>
        <v>7526219</v>
      </c>
      <c r="Y15">
        <f>X15*$E$6*$E$7/1000</f>
        <v>118.26915571428572</v>
      </c>
      <c r="Z15">
        <f>Y15*$E$10/1000</f>
        <v>35.24420840285714</v>
      </c>
    </row>
    <row r="16" spans="1:37" x14ac:dyDescent="0.25">
      <c r="A16">
        <v>2007</v>
      </c>
      <c r="B16" s="32">
        <v>7267732</v>
      </c>
      <c r="C16" s="32">
        <v>3208625</v>
      </c>
      <c r="D16" s="32">
        <v>2990028.0913</v>
      </c>
      <c r="E16" s="31">
        <f t="shared" ref="E16:F43" si="2">B16*$E$6*$E$7/1000</f>
        <v>114.20721714285715</v>
      </c>
      <c r="F16" s="31">
        <f t="shared" si="2"/>
        <v>50.421250000000001</v>
      </c>
      <c r="G16" s="31">
        <f t="shared" si="0"/>
        <v>46.98615572042857</v>
      </c>
      <c r="H16" s="31">
        <f>E16*$E$10/1000</f>
        <v>34.033750708571432</v>
      </c>
      <c r="I16" s="31">
        <f t="shared" si="1"/>
        <v>15.025532499999999</v>
      </c>
      <c r="J16" s="31">
        <f t="shared" si="1"/>
        <v>14.001874404687715</v>
      </c>
      <c r="K16" s="20">
        <f>SUM(H16:J16)</f>
        <v>63.061157613259141</v>
      </c>
      <c r="M16" s="60"/>
      <c r="N16" s="32">
        <v>409968</v>
      </c>
      <c r="O16">
        <f t="shared" ref="O16:O43" si="3">M16*$E$8*$E$7/1000</f>
        <v>0</v>
      </c>
      <c r="P16">
        <f t="shared" ref="P16:P43" si="4">N16*$E$9*$E$7/1000</f>
        <v>6.4423542857142859</v>
      </c>
      <c r="Q16">
        <f t="shared" ref="Q16:R43" si="5">O16*$E$10/1000</f>
        <v>0</v>
      </c>
      <c r="R16">
        <f t="shared" si="5"/>
        <v>1.9198215771428573</v>
      </c>
      <c r="S16">
        <f t="shared" ref="S16:S43" si="6">Q16+R16</f>
        <v>1.9198215771428573</v>
      </c>
      <c r="U16" s="31">
        <f t="shared" ref="U16:U43" si="7">K16+S16</f>
        <v>64.980979190401996</v>
      </c>
      <c r="W16" s="7">
        <v>1</v>
      </c>
      <c r="X16" s="8">
        <f t="shared" ref="X16:X43" si="8">B16*W16</f>
        <v>7267732</v>
      </c>
      <c r="Y16">
        <f t="shared" ref="Y16:Y43" si="9">X16*$E$6*$E$7/1000</f>
        <v>114.20721714285715</v>
      </c>
      <c r="Z16">
        <f t="shared" ref="Z16:Z43" si="10">Y16*$E$10/1000</f>
        <v>34.033750708571432</v>
      </c>
    </row>
    <row r="17" spans="1:37" x14ac:dyDescent="0.25">
      <c r="A17">
        <v>2008</v>
      </c>
      <c r="B17" s="32">
        <v>6807140</v>
      </c>
      <c r="C17" s="32">
        <v>3064362</v>
      </c>
      <c r="D17" s="32">
        <v>2878426.2456999999</v>
      </c>
      <c r="E17" s="31">
        <f t="shared" si="2"/>
        <v>106.96934285714285</v>
      </c>
      <c r="F17" s="31">
        <f t="shared" si="2"/>
        <v>48.154259999999994</v>
      </c>
      <c r="G17" s="31">
        <f t="shared" si="0"/>
        <v>45.232412432428575</v>
      </c>
      <c r="H17" s="31">
        <f t="shared" ref="H17:J40" si="11">E17*$E$10/1000</f>
        <v>31.876864171428569</v>
      </c>
      <c r="I17" s="31">
        <f t="shared" si="1"/>
        <v>14.349969479999999</v>
      </c>
      <c r="J17" s="31">
        <f t="shared" si="1"/>
        <v>13.479258904863714</v>
      </c>
      <c r="K17" s="20">
        <f t="shared" ref="K17:K43" si="12">SUM(H17:J17)</f>
        <v>59.706092556292276</v>
      </c>
      <c r="M17" s="60"/>
      <c r="N17" s="32">
        <v>409968</v>
      </c>
      <c r="O17">
        <f t="shared" si="3"/>
        <v>0</v>
      </c>
      <c r="P17">
        <f t="shared" si="4"/>
        <v>6.4423542857142859</v>
      </c>
      <c r="Q17">
        <f t="shared" si="5"/>
        <v>0</v>
      </c>
      <c r="R17">
        <f t="shared" si="5"/>
        <v>1.9198215771428573</v>
      </c>
      <c r="S17">
        <f t="shared" si="6"/>
        <v>1.9198215771428573</v>
      </c>
      <c r="U17" s="31">
        <f t="shared" si="7"/>
        <v>61.625914133435131</v>
      </c>
      <c r="W17" s="7">
        <v>1</v>
      </c>
      <c r="X17" s="8">
        <f t="shared" si="8"/>
        <v>6807140</v>
      </c>
      <c r="Y17">
        <f t="shared" si="9"/>
        <v>106.96934285714285</v>
      </c>
      <c r="Z17">
        <f t="shared" si="10"/>
        <v>31.876864171428569</v>
      </c>
    </row>
    <row r="18" spans="1:37" x14ac:dyDescent="0.25">
      <c r="A18">
        <v>2009</v>
      </c>
      <c r="B18" s="32">
        <v>6616456</v>
      </c>
      <c r="C18" s="32">
        <v>3013169</v>
      </c>
      <c r="D18" s="32">
        <v>2637317.4032999999</v>
      </c>
      <c r="E18" s="31">
        <f t="shared" si="2"/>
        <v>103.97287999999999</v>
      </c>
      <c r="F18" s="31">
        <f t="shared" si="2"/>
        <v>47.349798571428572</v>
      </c>
      <c r="G18" s="31">
        <f t="shared" si="0"/>
        <v>41.443559194714283</v>
      </c>
      <c r="H18" s="31">
        <f t="shared" si="11"/>
        <v>30.983918239999994</v>
      </c>
      <c r="I18" s="31">
        <f t="shared" si="1"/>
        <v>14.110239974285713</v>
      </c>
      <c r="J18" s="31">
        <f t="shared" si="1"/>
        <v>12.350180640024856</v>
      </c>
      <c r="K18" s="20">
        <f t="shared" si="12"/>
        <v>57.444338854310558</v>
      </c>
      <c r="M18" s="32">
        <v>67844.831250000003</v>
      </c>
      <c r="N18" s="32">
        <v>417977.60087999998</v>
      </c>
      <c r="O18">
        <f t="shared" si="3"/>
        <v>2.1322661250000001</v>
      </c>
      <c r="P18">
        <f t="shared" si="4"/>
        <v>6.5682194423999993</v>
      </c>
      <c r="Q18">
        <f t="shared" si="5"/>
        <v>0.63541530525000012</v>
      </c>
      <c r="R18">
        <f t="shared" si="5"/>
        <v>1.9573293938351999</v>
      </c>
      <c r="S18">
        <f t="shared" si="6"/>
        <v>2.5927446990852001</v>
      </c>
      <c r="U18" s="31">
        <f t="shared" si="7"/>
        <v>60.03708355339576</v>
      </c>
      <c r="W18" s="7">
        <v>1</v>
      </c>
      <c r="X18" s="8">
        <f t="shared" si="8"/>
        <v>6616456</v>
      </c>
      <c r="Y18">
        <f t="shared" si="9"/>
        <v>103.97287999999999</v>
      </c>
      <c r="Z18">
        <f t="shared" si="10"/>
        <v>30.983918239999994</v>
      </c>
    </row>
    <row r="19" spans="1:37" x14ac:dyDescent="0.25">
      <c r="A19">
        <v>2010</v>
      </c>
      <c r="B19" s="32">
        <v>7468310</v>
      </c>
      <c r="C19" s="32">
        <v>3012269</v>
      </c>
      <c r="D19" s="32">
        <v>3508672.6663000002</v>
      </c>
      <c r="E19" s="31">
        <f t="shared" si="2"/>
        <v>117.35915714285714</v>
      </c>
      <c r="F19" s="31">
        <f t="shared" si="2"/>
        <v>47.335655714285721</v>
      </c>
      <c r="G19" s="31">
        <f t="shared" si="0"/>
        <v>55.136284756142857</v>
      </c>
      <c r="H19" s="31">
        <f t="shared" si="11"/>
        <v>34.973028828571429</v>
      </c>
      <c r="I19" s="31">
        <f t="shared" si="1"/>
        <v>14.106025402857146</v>
      </c>
      <c r="J19" s="31">
        <f t="shared" si="1"/>
        <v>16.430612857330573</v>
      </c>
      <c r="K19" s="20">
        <f t="shared" si="12"/>
        <v>65.509667088759144</v>
      </c>
      <c r="M19" s="32">
        <v>10606.575150000001</v>
      </c>
      <c r="N19" s="32">
        <v>409968</v>
      </c>
      <c r="O19">
        <f t="shared" si="3"/>
        <v>0.3333495047142857</v>
      </c>
      <c r="P19">
        <f t="shared" si="4"/>
        <v>6.4423542857142859</v>
      </c>
      <c r="Q19">
        <f t="shared" si="5"/>
        <v>9.9338152404857147E-2</v>
      </c>
      <c r="R19">
        <f t="shared" si="5"/>
        <v>1.9198215771428573</v>
      </c>
      <c r="S19">
        <f t="shared" si="6"/>
        <v>2.0191597295477144</v>
      </c>
      <c r="U19" s="31">
        <f t="shared" si="7"/>
        <v>67.528826818306854</v>
      </c>
      <c r="W19" s="7">
        <v>1</v>
      </c>
      <c r="X19" s="8">
        <f t="shared" si="8"/>
        <v>7468310</v>
      </c>
      <c r="Y19">
        <f t="shared" si="9"/>
        <v>117.35915714285714</v>
      </c>
      <c r="Z19">
        <f t="shared" si="10"/>
        <v>34.973028828571429</v>
      </c>
    </row>
    <row r="20" spans="1:37" x14ac:dyDescent="0.25">
      <c r="A20">
        <v>2011</v>
      </c>
      <c r="B20" s="32">
        <v>7834140</v>
      </c>
      <c r="C20" s="32">
        <v>2902017</v>
      </c>
      <c r="D20" s="32">
        <v>3528789</v>
      </c>
      <c r="E20" s="31">
        <f t="shared" si="2"/>
        <v>123.1079142857143</v>
      </c>
      <c r="F20" s="31">
        <f t="shared" si="2"/>
        <v>45.603124285714287</v>
      </c>
      <c r="G20" s="31">
        <f t="shared" si="0"/>
        <v>55.452398571428567</v>
      </c>
      <c r="H20" s="31">
        <f t="shared" si="11"/>
        <v>36.686158457142859</v>
      </c>
      <c r="I20" s="31">
        <f t="shared" si="1"/>
        <v>13.589731037142858</v>
      </c>
      <c r="J20" s="31">
        <f t="shared" si="1"/>
        <v>16.524814774285716</v>
      </c>
      <c r="K20" s="20">
        <f t="shared" si="12"/>
        <v>66.800704268571437</v>
      </c>
      <c r="M20" s="32">
        <v>11286.422325</v>
      </c>
      <c r="N20" s="58">
        <v>420000</v>
      </c>
      <c r="O20">
        <f t="shared" si="3"/>
        <v>0.35471613021428566</v>
      </c>
      <c r="P20">
        <f t="shared" si="4"/>
        <v>6.6</v>
      </c>
      <c r="Q20">
        <f t="shared" si="5"/>
        <v>0.10570540680385714</v>
      </c>
      <c r="R20">
        <f t="shared" si="5"/>
        <v>1.9667999999999999</v>
      </c>
      <c r="S20">
        <f t="shared" si="6"/>
        <v>2.0725054068038569</v>
      </c>
      <c r="U20" s="31">
        <f t="shared" si="7"/>
        <v>68.873209675375293</v>
      </c>
      <c r="W20" s="7">
        <v>1</v>
      </c>
      <c r="X20" s="8">
        <f t="shared" si="8"/>
        <v>7834140</v>
      </c>
      <c r="Y20">
        <f t="shared" si="9"/>
        <v>123.1079142857143</v>
      </c>
      <c r="Z20">
        <f t="shared" si="10"/>
        <v>36.686158457142859</v>
      </c>
    </row>
    <row r="21" spans="1:37" x14ac:dyDescent="0.25">
      <c r="A21">
        <v>2012</v>
      </c>
      <c r="B21" s="32">
        <v>9700004</v>
      </c>
      <c r="C21" s="32">
        <v>2697461</v>
      </c>
      <c r="D21" s="32">
        <v>3437753.0843000002</v>
      </c>
      <c r="E21" s="31">
        <f t="shared" si="2"/>
        <v>152.42863428571431</v>
      </c>
      <c r="F21" s="31">
        <f t="shared" si="2"/>
        <v>42.388672857142851</v>
      </c>
      <c r="G21" s="31">
        <f t="shared" si="0"/>
        <v>54.021834181857145</v>
      </c>
      <c r="H21" s="31">
        <f t="shared" si="11"/>
        <v>45.423733017142865</v>
      </c>
      <c r="I21" s="31">
        <f t="shared" si="1"/>
        <v>12.631824511428569</v>
      </c>
      <c r="J21" s="31">
        <f t="shared" si="1"/>
        <v>16.09850658619343</v>
      </c>
      <c r="K21" s="20">
        <f t="shared" si="12"/>
        <v>74.154064114764864</v>
      </c>
      <c r="M21" s="32">
        <v>14442.256125</v>
      </c>
      <c r="N21" s="32">
        <v>462125.79920000001</v>
      </c>
      <c r="O21">
        <f t="shared" si="3"/>
        <v>0.45389947821428567</v>
      </c>
      <c r="P21">
        <f t="shared" si="4"/>
        <v>7.2619768445714277</v>
      </c>
      <c r="Q21">
        <f t="shared" si="5"/>
        <v>0.13526204450785712</v>
      </c>
      <c r="R21">
        <f t="shared" si="5"/>
        <v>2.1640690996822856</v>
      </c>
      <c r="S21">
        <f t="shared" si="6"/>
        <v>2.2993311441901425</v>
      </c>
      <c r="U21" s="31">
        <f t="shared" si="7"/>
        <v>76.453395258955013</v>
      </c>
      <c r="W21" s="7">
        <v>1</v>
      </c>
      <c r="X21" s="8">
        <f t="shared" si="8"/>
        <v>9700004</v>
      </c>
      <c r="Y21">
        <f t="shared" si="9"/>
        <v>152.42863428571431</v>
      </c>
      <c r="Z21">
        <f t="shared" si="10"/>
        <v>45.423733017142865</v>
      </c>
      <c r="AE21" t="s">
        <v>281</v>
      </c>
      <c r="AH21">
        <v>0.5</v>
      </c>
    </row>
    <row r="22" spans="1:37" x14ac:dyDescent="0.25">
      <c r="A22">
        <v>2013</v>
      </c>
      <c r="B22" s="32">
        <v>9967255</v>
      </c>
      <c r="C22" s="32">
        <v>2665224</v>
      </c>
      <c r="D22" s="32">
        <v>3379421.6993</v>
      </c>
      <c r="E22" s="31">
        <f t="shared" si="2"/>
        <v>156.62829285714287</v>
      </c>
      <c r="F22" s="31">
        <f t="shared" si="2"/>
        <v>41.882091428571428</v>
      </c>
      <c r="G22" s="31">
        <f t="shared" si="0"/>
        <v>53.105198131857144</v>
      </c>
      <c r="H22" s="31">
        <f t="shared" si="11"/>
        <v>46.675231271428572</v>
      </c>
      <c r="I22" s="31">
        <f t="shared" si="1"/>
        <v>12.480863245714286</v>
      </c>
      <c r="J22" s="31">
        <f t="shared" si="1"/>
        <v>15.825349043293429</v>
      </c>
      <c r="K22" s="20">
        <f t="shared" si="12"/>
        <v>74.98144356043629</v>
      </c>
      <c r="M22" s="32">
        <v>13170.0906</v>
      </c>
      <c r="N22" s="32">
        <v>464088.0465</v>
      </c>
      <c r="O22">
        <f t="shared" si="3"/>
        <v>0.41391713314285716</v>
      </c>
      <c r="P22">
        <f t="shared" si="4"/>
        <v>7.292812159285714</v>
      </c>
      <c r="Q22">
        <f t="shared" si="5"/>
        <v>0.12334730567657144</v>
      </c>
      <c r="R22">
        <f t="shared" si="5"/>
        <v>2.1732580234671426</v>
      </c>
      <c r="S22">
        <f t="shared" si="6"/>
        <v>2.2966053291437141</v>
      </c>
      <c r="U22" s="31">
        <f t="shared" si="7"/>
        <v>77.278048889580006</v>
      </c>
      <c r="W22" s="7">
        <v>1</v>
      </c>
      <c r="X22" s="8">
        <f t="shared" si="8"/>
        <v>9967255</v>
      </c>
      <c r="Y22">
        <f t="shared" si="9"/>
        <v>156.62829285714287</v>
      </c>
      <c r="Z22">
        <f t="shared" si="10"/>
        <v>46.675231271428572</v>
      </c>
      <c r="AE22" t="s">
        <v>282</v>
      </c>
      <c r="AH22" s="130">
        <v>1.7500000000000002E-2</v>
      </c>
    </row>
    <row r="23" spans="1:37" x14ac:dyDescent="0.25">
      <c r="A23" s="88">
        <v>2014</v>
      </c>
      <c r="B23" s="59">
        <f>B22*(1+$G$5)</f>
        <v>10166600.1</v>
      </c>
      <c r="C23" s="118">
        <f>C22</f>
        <v>2665224</v>
      </c>
      <c r="D23" s="118">
        <f>D22+(D24-D22)/2</f>
        <v>3440472.1319429623</v>
      </c>
      <c r="E23" s="31">
        <f t="shared" si="2"/>
        <v>159.76085871428572</v>
      </c>
      <c r="F23" s="31">
        <f t="shared" si="2"/>
        <v>41.882091428571428</v>
      </c>
      <c r="G23" s="119">
        <f t="shared" si="0"/>
        <v>54.064562073389403</v>
      </c>
      <c r="H23" s="119">
        <f t="shared" si="11"/>
        <v>47.608735896857141</v>
      </c>
      <c r="I23" s="119">
        <f t="shared" si="1"/>
        <v>12.480863245714286</v>
      </c>
      <c r="J23" s="119">
        <f t="shared" si="1"/>
        <v>16.111239497870042</v>
      </c>
      <c r="K23" s="120">
        <f t="shared" si="12"/>
        <v>76.200838640441475</v>
      </c>
      <c r="L23" s="117"/>
      <c r="M23" s="118">
        <f>M22+(M24-M22)/2</f>
        <v>12926.5553</v>
      </c>
      <c r="N23" s="118">
        <f>N22</f>
        <v>464088.0465</v>
      </c>
      <c r="O23" s="117">
        <f t="shared" si="3"/>
        <v>0.40626316657142858</v>
      </c>
      <c r="P23">
        <f t="shared" si="4"/>
        <v>7.292812159285714</v>
      </c>
      <c r="Q23">
        <f t="shared" si="5"/>
        <v>0.12106642363828571</v>
      </c>
      <c r="R23">
        <f t="shared" si="5"/>
        <v>2.1732580234671426</v>
      </c>
      <c r="S23">
        <f t="shared" si="6"/>
        <v>2.2943244471054283</v>
      </c>
      <c r="T23" s="117"/>
      <c r="U23" s="31">
        <f t="shared" si="7"/>
        <v>78.495163087546899</v>
      </c>
      <c r="W23" s="7">
        <v>1</v>
      </c>
      <c r="X23" s="8">
        <f>B23*W23</f>
        <v>10166600.1</v>
      </c>
      <c r="Y23">
        <f t="shared" si="9"/>
        <v>159.76085871428572</v>
      </c>
      <c r="Z23">
        <f t="shared" si="10"/>
        <v>47.608735896857141</v>
      </c>
      <c r="AD23" s="109">
        <v>0.15</v>
      </c>
      <c r="AE23" s="109">
        <v>0.5</v>
      </c>
      <c r="AF23" s="109">
        <v>0.12</v>
      </c>
      <c r="AH23" s="189" t="s">
        <v>278</v>
      </c>
      <c r="AJ23" s="189" t="s">
        <v>283</v>
      </c>
    </row>
    <row r="24" spans="1:37" ht="15" customHeight="1" x14ac:dyDescent="0.25">
      <c r="A24" s="88">
        <v>2015</v>
      </c>
      <c r="B24" s="59">
        <f t="shared" ref="B24:B29" si="13">B23*(1+$G$5)</f>
        <v>10369932.102</v>
      </c>
      <c r="C24" s="118">
        <f t="shared" ref="C24:C43" si="14">C23</f>
        <v>2665224</v>
      </c>
      <c r="D24" s="118">
        <f>MMS!U73</f>
        <v>3501522.5645859241</v>
      </c>
      <c r="E24" s="31">
        <f t="shared" si="2"/>
        <v>162.95607588857141</v>
      </c>
      <c r="F24" s="31">
        <f t="shared" si="2"/>
        <v>41.882091428571428</v>
      </c>
      <c r="G24" s="119">
        <f t="shared" si="0"/>
        <v>55.02392601492167</v>
      </c>
      <c r="H24" s="119">
        <f t="shared" si="11"/>
        <v>48.560910614794281</v>
      </c>
      <c r="I24" s="119">
        <f t="shared" si="1"/>
        <v>12.480863245714286</v>
      </c>
      <c r="J24" s="119">
        <f t="shared" si="1"/>
        <v>16.397129952446658</v>
      </c>
      <c r="K24" s="120">
        <f t="shared" si="12"/>
        <v>77.438903812955232</v>
      </c>
      <c r="L24" s="117"/>
      <c r="M24" s="118">
        <f>MMS!U75</f>
        <v>12683.02</v>
      </c>
      <c r="N24" s="118">
        <f>MMS!U74</f>
        <v>464088.0465</v>
      </c>
      <c r="O24" s="117">
        <f t="shared" si="3"/>
        <v>0.3986092</v>
      </c>
      <c r="P24">
        <f t="shared" si="4"/>
        <v>7.292812159285714</v>
      </c>
      <c r="Q24">
        <f t="shared" si="5"/>
        <v>0.1187855416</v>
      </c>
      <c r="R24">
        <f t="shared" si="5"/>
        <v>2.1732580234671426</v>
      </c>
      <c r="S24">
        <f t="shared" si="6"/>
        <v>2.2920435650671425</v>
      </c>
      <c r="T24" s="117"/>
      <c r="U24" s="31">
        <f t="shared" si="7"/>
        <v>79.730947378022378</v>
      </c>
      <c r="V24">
        <v>2015</v>
      </c>
      <c r="W24" s="7">
        <v>1</v>
      </c>
      <c r="X24" s="8">
        <f t="shared" si="8"/>
        <v>10369932.102</v>
      </c>
      <c r="Y24">
        <f t="shared" si="9"/>
        <v>162.95607588857141</v>
      </c>
      <c r="Z24">
        <f t="shared" si="10"/>
        <v>48.560910614794281</v>
      </c>
      <c r="AC24" s="192" t="s">
        <v>279</v>
      </c>
      <c r="AD24" s="192"/>
      <c r="AE24" s="192"/>
      <c r="AF24" s="192"/>
      <c r="AG24" s="192"/>
      <c r="AH24" s="189"/>
      <c r="AI24" s="189" t="s">
        <v>280</v>
      </c>
      <c r="AJ24" s="189"/>
      <c r="AK24" s="175" t="s">
        <v>284</v>
      </c>
    </row>
    <row r="25" spans="1:37" x14ac:dyDescent="0.25">
      <c r="A25" s="88">
        <v>2016</v>
      </c>
      <c r="B25" s="59">
        <f t="shared" si="13"/>
        <v>10577330.744039999</v>
      </c>
      <c r="C25" s="118">
        <f t="shared" si="14"/>
        <v>2665224</v>
      </c>
      <c r="D25" s="118">
        <f>D24+($D$29-$D$24)/5</f>
        <v>3528339.1971234176</v>
      </c>
      <c r="E25" s="31">
        <f t="shared" si="2"/>
        <v>166.21519740634284</v>
      </c>
      <c r="F25" s="31">
        <f t="shared" si="2"/>
        <v>41.882091428571428</v>
      </c>
      <c r="G25" s="119">
        <f t="shared" si="0"/>
        <v>55.445330240510842</v>
      </c>
      <c r="H25" s="119">
        <f t="shared" si="11"/>
        <v>49.532128827090162</v>
      </c>
      <c r="I25" s="119">
        <f t="shared" si="1"/>
        <v>12.480863245714286</v>
      </c>
      <c r="J25" s="119">
        <f t="shared" si="1"/>
        <v>16.522708411672234</v>
      </c>
      <c r="K25" s="120">
        <f t="shared" si="12"/>
        <v>78.535700484476678</v>
      </c>
      <c r="L25" s="117"/>
      <c r="M25" s="118">
        <f>M24+($M$29-$M$24)/5</f>
        <v>12768.284</v>
      </c>
      <c r="N25" s="118">
        <f>N24+($N$29-$N$24)/5</f>
        <v>469212.64649999997</v>
      </c>
      <c r="O25" s="117">
        <f t="shared" si="3"/>
        <v>0.4012889257142857</v>
      </c>
      <c r="P25">
        <f t="shared" si="4"/>
        <v>7.3733415878571433</v>
      </c>
      <c r="Q25">
        <f t="shared" si="5"/>
        <v>0.11958409986285715</v>
      </c>
      <c r="R25">
        <f t="shared" si="5"/>
        <v>2.1972557931814287</v>
      </c>
      <c r="S25">
        <f t="shared" si="6"/>
        <v>2.3168398930442859</v>
      </c>
      <c r="T25" s="117"/>
      <c r="U25" s="31">
        <f t="shared" si="7"/>
        <v>80.852540377520967</v>
      </c>
      <c r="V25">
        <v>2016</v>
      </c>
      <c r="W25" s="7">
        <v>0.99</v>
      </c>
      <c r="X25" s="8">
        <f t="shared" si="8"/>
        <v>10471557.436599599</v>
      </c>
      <c r="Y25">
        <f t="shared" si="9"/>
        <v>164.55304543227942</v>
      </c>
      <c r="Z25">
        <f t="shared" si="10"/>
        <v>49.036807538819268</v>
      </c>
      <c r="AB25" t="s">
        <v>36</v>
      </c>
      <c r="AC25" s="175" t="s">
        <v>277</v>
      </c>
      <c r="AD25" s="175" t="s">
        <v>274</v>
      </c>
      <c r="AE25" s="175" t="s">
        <v>275</v>
      </c>
      <c r="AF25" s="175" t="s">
        <v>276</v>
      </c>
      <c r="AG25" s="175" t="s">
        <v>131</v>
      </c>
      <c r="AH25" s="189"/>
      <c r="AI25" s="189"/>
      <c r="AJ25" s="189"/>
      <c r="AK25" s="175" t="s">
        <v>285</v>
      </c>
    </row>
    <row r="26" spans="1:37" x14ac:dyDescent="0.25">
      <c r="A26" s="88">
        <v>2017</v>
      </c>
      <c r="B26" s="59">
        <f t="shared" si="13"/>
        <v>10788877.3589208</v>
      </c>
      <c r="C26" s="118">
        <f t="shared" si="14"/>
        <v>2665224</v>
      </c>
      <c r="D26" s="118">
        <f t="shared" ref="D26:D28" si="15">D25+($D$29-$D$24)/5</f>
        <v>3555155.8296609111</v>
      </c>
      <c r="E26" s="31">
        <f t="shared" si="2"/>
        <v>169.53950135446971</v>
      </c>
      <c r="F26" s="31">
        <f t="shared" si="2"/>
        <v>41.882091428571428</v>
      </c>
      <c r="G26" s="119">
        <f t="shared" si="0"/>
        <v>55.866734466100034</v>
      </c>
      <c r="H26" s="119">
        <f t="shared" si="11"/>
        <v>50.522771403631971</v>
      </c>
      <c r="I26" s="119">
        <f t="shared" si="1"/>
        <v>12.480863245714286</v>
      </c>
      <c r="J26" s="119">
        <f t="shared" si="1"/>
        <v>16.64828687089781</v>
      </c>
      <c r="K26" s="120">
        <f t="shared" si="12"/>
        <v>79.651921520244059</v>
      </c>
      <c r="L26" s="117"/>
      <c r="M26" s="118">
        <f t="shared" ref="M26:M28" si="16">M25+($M$29-$M$24)/5</f>
        <v>12853.547999999999</v>
      </c>
      <c r="N26" s="118">
        <f t="shared" ref="N26:N28" si="17">N25+($N$29-$N$24)/5</f>
        <v>474337.24649999995</v>
      </c>
      <c r="O26" s="117">
        <f t="shared" si="3"/>
        <v>0.40396865142857136</v>
      </c>
      <c r="P26">
        <f t="shared" si="4"/>
        <v>7.45387101642857</v>
      </c>
      <c r="Q26">
        <f t="shared" si="5"/>
        <v>0.12038265812571426</v>
      </c>
      <c r="R26">
        <f t="shared" si="5"/>
        <v>2.221253562895714</v>
      </c>
      <c r="S26">
        <f t="shared" si="6"/>
        <v>2.3416362210214281</v>
      </c>
      <c r="T26" s="117"/>
      <c r="U26" s="31">
        <f t="shared" si="7"/>
        <v>81.993557741265491</v>
      </c>
      <c r="V26">
        <v>2017</v>
      </c>
      <c r="W26" s="7">
        <v>0.98</v>
      </c>
      <c r="X26" s="8">
        <f t="shared" si="8"/>
        <v>10573099.811742384</v>
      </c>
      <c r="Y26">
        <f t="shared" si="9"/>
        <v>166.14871132738034</v>
      </c>
      <c r="Z26">
        <f t="shared" si="10"/>
        <v>49.512315975559346</v>
      </c>
      <c r="AB26">
        <v>2017</v>
      </c>
      <c r="AC26">
        <v>442.31758599922205</v>
      </c>
      <c r="AD26">
        <f>AC26*$AD$23*AH26</f>
        <v>1.3269527579976663</v>
      </c>
      <c r="AE26">
        <f>AC26*$AE$23*AH26</f>
        <v>4.4231758599922202</v>
      </c>
      <c r="AF26">
        <f>AC26*$AF$23*AH26</f>
        <v>1.0615622063981329</v>
      </c>
      <c r="AG26">
        <f>AD26+AE26+AF26</f>
        <v>6.8116908243880196</v>
      </c>
      <c r="AH26" s="134">
        <v>0.02</v>
      </c>
      <c r="AI26">
        <f>AG26*$AH$21</f>
        <v>3.4058454121940098</v>
      </c>
      <c r="AJ26" s="8">
        <f>AI26*$AH$22*1000000</f>
        <v>59602.294713395175</v>
      </c>
      <c r="AK26">
        <f>AJ26*$E$6*$E$7*$E$10/1000000</f>
        <v>0.27910903152929911</v>
      </c>
    </row>
    <row r="27" spans="1:37" x14ac:dyDescent="0.25">
      <c r="A27" s="88">
        <v>2018</v>
      </c>
      <c r="B27" s="59">
        <f t="shared" si="13"/>
        <v>11004654.906099215</v>
      </c>
      <c r="C27" s="118">
        <f t="shared" si="14"/>
        <v>2665224</v>
      </c>
      <c r="D27" s="118">
        <f t="shared" si="15"/>
        <v>3581972.4621984046</v>
      </c>
      <c r="E27" s="31">
        <f t="shared" si="2"/>
        <v>172.9302913815591</v>
      </c>
      <c r="F27" s="31">
        <f t="shared" si="2"/>
        <v>41.882091428571428</v>
      </c>
      <c r="G27" s="119">
        <f t="shared" si="0"/>
        <v>56.288138691689213</v>
      </c>
      <c r="H27" s="119">
        <f t="shared" si="11"/>
        <v>51.53322683170461</v>
      </c>
      <c r="I27" s="119">
        <f t="shared" si="1"/>
        <v>12.480863245714286</v>
      </c>
      <c r="J27" s="119">
        <f t="shared" si="1"/>
        <v>16.773865330123385</v>
      </c>
      <c r="K27" s="120">
        <f t="shared" si="12"/>
        <v>80.787955407542285</v>
      </c>
      <c r="L27" s="117"/>
      <c r="M27" s="118">
        <f t="shared" si="16"/>
        <v>12938.811999999998</v>
      </c>
      <c r="N27" s="118">
        <f t="shared" si="17"/>
        <v>479461.84649999993</v>
      </c>
      <c r="O27" s="117">
        <f t="shared" si="3"/>
        <v>0.40664837714285712</v>
      </c>
      <c r="P27">
        <f t="shared" si="4"/>
        <v>7.5344004449999993</v>
      </c>
      <c r="Q27">
        <f t="shared" si="5"/>
        <v>0.12118121638857143</v>
      </c>
      <c r="R27">
        <f t="shared" si="5"/>
        <v>2.2452513326099997</v>
      </c>
      <c r="S27">
        <f t="shared" si="6"/>
        <v>2.3664325489985711</v>
      </c>
      <c r="T27" s="117"/>
      <c r="U27" s="31">
        <f t="shared" si="7"/>
        <v>83.154387956540859</v>
      </c>
      <c r="V27">
        <v>2018</v>
      </c>
      <c r="W27" s="7">
        <v>0.97</v>
      </c>
      <c r="X27" s="8">
        <f t="shared" si="8"/>
        <v>10674515.258916238</v>
      </c>
      <c r="Y27">
        <f t="shared" si="9"/>
        <v>167.74238264011234</v>
      </c>
      <c r="Z27">
        <f t="shared" si="10"/>
        <v>49.987230026753473</v>
      </c>
      <c r="AB27">
        <v>2018</v>
      </c>
      <c r="AC27">
        <v>451.1639377192065</v>
      </c>
      <c r="AD27">
        <f t="shared" ref="AD27:AD39" si="18">AC27*$AD$23*AH27</f>
        <v>2.7069836263152389</v>
      </c>
      <c r="AE27">
        <f t="shared" ref="AE27:AE39" si="19">AC27*$AE$23*AH27</f>
        <v>9.0232787543841297</v>
      </c>
      <c r="AF27">
        <f t="shared" ref="AF27:AF39" si="20">AC27*$AF$23*AH27</f>
        <v>2.1655869010521913</v>
      </c>
      <c r="AG27">
        <f t="shared" ref="AG27:AG39" si="21">AD27+AE27+AF27</f>
        <v>13.895849281751559</v>
      </c>
      <c r="AH27" s="135">
        <f>AH26+2%</f>
        <v>0.04</v>
      </c>
      <c r="AI27">
        <f t="shared" ref="AI27:AI39" si="22">AG27*$AH$21</f>
        <v>6.9479246408757795</v>
      </c>
      <c r="AJ27" s="8">
        <f t="shared" ref="AJ27:AJ39" si="23">AI27*$AH$22*1000000</f>
        <v>121588.68121532616</v>
      </c>
      <c r="AK27">
        <f t="shared" ref="AK27:AK39" si="24">AJ27*$E$6*$E$7*$E$10/1000000</f>
        <v>0.56938242431977015</v>
      </c>
    </row>
    <row r="28" spans="1:37" x14ac:dyDescent="0.25">
      <c r="A28" s="88">
        <v>2019</v>
      </c>
      <c r="B28" s="59">
        <f t="shared" si="13"/>
        <v>11224748.004221199</v>
      </c>
      <c r="C28" s="118">
        <f t="shared" si="14"/>
        <v>2665224</v>
      </c>
      <c r="D28" s="118">
        <f t="shared" si="15"/>
        <v>3608789.0947358981</v>
      </c>
      <c r="E28" s="31">
        <f t="shared" si="2"/>
        <v>176.38889720919028</v>
      </c>
      <c r="F28" s="31">
        <f t="shared" si="2"/>
        <v>41.882091428571428</v>
      </c>
      <c r="G28" s="119">
        <f t="shared" si="0"/>
        <v>56.709542917278398</v>
      </c>
      <c r="H28" s="119">
        <f t="shared" si="11"/>
        <v>52.563891368338702</v>
      </c>
      <c r="I28" s="119">
        <f t="shared" si="1"/>
        <v>12.480863245714286</v>
      </c>
      <c r="J28" s="119">
        <f t="shared" si="1"/>
        <v>16.899443789348965</v>
      </c>
      <c r="K28" s="120">
        <f t="shared" si="12"/>
        <v>81.944198403401955</v>
      </c>
      <c r="L28" s="117"/>
      <c r="M28" s="118">
        <f t="shared" si="16"/>
        <v>13024.075999999997</v>
      </c>
      <c r="N28" s="118">
        <f t="shared" si="17"/>
        <v>484586.4464999999</v>
      </c>
      <c r="O28" s="117">
        <f t="shared" si="3"/>
        <v>0.40932810285714277</v>
      </c>
      <c r="P28">
        <f t="shared" si="4"/>
        <v>7.6149298735714268</v>
      </c>
      <c r="Q28">
        <f t="shared" si="5"/>
        <v>0.12197977465142854</v>
      </c>
      <c r="R28">
        <f t="shared" si="5"/>
        <v>2.2692491023242849</v>
      </c>
      <c r="S28">
        <f t="shared" si="6"/>
        <v>2.3912288769757133</v>
      </c>
      <c r="T28" s="117"/>
      <c r="U28" s="31">
        <f t="shared" si="7"/>
        <v>84.335427280377672</v>
      </c>
      <c r="V28">
        <v>2019</v>
      </c>
      <c r="W28" s="7">
        <v>0.96</v>
      </c>
      <c r="X28" s="8">
        <f t="shared" si="8"/>
        <v>10775758.08405235</v>
      </c>
      <c r="Y28">
        <f t="shared" si="9"/>
        <v>169.33334132082263</v>
      </c>
      <c r="Z28">
        <f t="shared" si="10"/>
        <v>50.461335713605145</v>
      </c>
      <c r="AB28">
        <v>2019</v>
      </c>
      <c r="AC28">
        <v>460.18721647359064</v>
      </c>
      <c r="AD28">
        <f t="shared" si="18"/>
        <v>4.1416849482623155</v>
      </c>
      <c r="AE28">
        <f t="shared" si="19"/>
        <v>13.805616494207719</v>
      </c>
      <c r="AF28">
        <f t="shared" si="20"/>
        <v>3.3133479586098522</v>
      </c>
      <c r="AG28">
        <f t="shared" si="21"/>
        <v>21.260649401079888</v>
      </c>
      <c r="AH28" s="135">
        <f t="shared" ref="AH28:AH39" si="25">AH27+2%</f>
        <v>0.06</v>
      </c>
      <c r="AI28">
        <f t="shared" si="22"/>
        <v>10.630324700539944</v>
      </c>
      <c r="AJ28" s="8">
        <f t="shared" si="23"/>
        <v>186030.68225944904</v>
      </c>
      <c r="AK28">
        <f t="shared" si="24"/>
        <v>0.87115510920924843</v>
      </c>
    </row>
    <row r="29" spans="1:37" x14ac:dyDescent="0.25">
      <c r="A29" s="88">
        <v>2020</v>
      </c>
      <c r="B29" s="59">
        <f t="shared" si="13"/>
        <v>11449242.964305623</v>
      </c>
      <c r="C29" s="118">
        <f t="shared" si="14"/>
        <v>2665224</v>
      </c>
      <c r="D29" s="118">
        <f>MMS!V73</f>
        <v>3635605.7272733925</v>
      </c>
      <c r="E29" s="31">
        <f t="shared" si="2"/>
        <v>179.91667515337406</v>
      </c>
      <c r="F29" s="31">
        <f t="shared" si="2"/>
        <v>41.882091428571428</v>
      </c>
      <c r="G29" s="119">
        <f t="shared" si="0"/>
        <v>57.130947142867598</v>
      </c>
      <c r="H29" s="119">
        <f t="shared" si="11"/>
        <v>53.615169195705469</v>
      </c>
      <c r="I29" s="119">
        <f t="shared" si="1"/>
        <v>12.480863245714286</v>
      </c>
      <c r="J29" s="119">
        <f t="shared" si="1"/>
        <v>17.025022248574544</v>
      </c>
      <c r="K29" s="120">
        <f t="shared" si="12"/>
        <v>83.121054689994295</v>
      </c>
      <c r="L29" s="117"/>
      <c r="M29" s="118">
        <f>MMS!V75</f>
        <v>13109.34</v>
      </c>
      <c r="N29" s="118">
        <f>MMS!V74</f>
        <v>489711.0465</v>
      </c>
      <c r="O29" s="117">
        <f t="shared" si="3"/>
        <v>0.41200782857142854</v>
      </c>
      <c r="P29">
        <f t="shared" si="4"/>
        <v>7.6954593021428561</v>
      </c>
      <c r="Q29">
        <f t="shared" si="5"/>
        <v>0.12277833291428569</v>
      </c>
      <c r="R29">
        <f t="shared" si="5"/>
        <v>2.293246872038571</v>
      </c>
      <c r="S29">
        <f t="shared" si="6"/>
        <v>2.4160252049528568</v>
      </c>
      <c r="T29" s="117"/>
      <c r="U29" s="31">
        <f t="shared" si="7"/>
        <v>85.537079894947155</v>
      </c>
      <c r="V29">
        <v>2020</v>
      </c>
      <c r="W29" s="7">
        <v>0.95</v>
      </c>
      <c r="X29" s="8">
        <f t="shared" si="8"/>
        <v>10876780.816090342</v>
      </c>
      <c r="Y29">
        <f t="shared" si="9"/>
        <v>170.92084139570537</v>
      </c>
      <c r="Z29">
        <f t="shared" si="10"/>
        <v>50.934410735920203</v>
      </c>
      <c r="AB29">
        <v>2020</v>
      </c>
      <c r="AC29">
        <v>469.39096080306246</v>
      </c>
      <c r="AD29">
        <f t="shared" si="18"/>
        <v>5.6326915296367499</v>
      </c>
      <c r="AE29">
        <f t="shared" si="19"/>
        <v>18.775638432122499</v>
      </c>
      <c r="AF29">
        <f t="shared" si="20"/>
        <v>4.5061532237093997</v>
      </c>
      <c r="AG29">
        <f t="shared" si="21"/>
        <v>28.914483185468651</v>
      </c>
      <c r="AH29" s="135">
        <f t="shared" si="25"/>
        <v>0.08</v>
      </c>
      <c r="AI29">
        <f t="shared" si="22"/>
        <v>14.457241592734325</v>
      </c>
      <c r="AJ29" s="8">
        <f t="shared" si="23"/>
        <v>253001.72787285075</v>
      </c>
      <c r="AK29">
        <f t="shared" si="24"/>
        <v>1.1847709485245785</v>
      </c>
    </row>
    <row r="30" spans="1:37" x14ac:dyDescent="0.25">
      <c r="A30" s="88">
        <v>2021</v>
      </c>
      <c r="B30" s="59">
        <f>B29</f>
        <v>11449242.964305623</v>
      </c>
      <c r="C30" s="118">
        <f t="shared" si="14"/>
        <v>2665224</v>
      </c>
      <c r="D30" s="118">
        <f>D29+($D$34-$D$29)/5</f>
        <v>3665619.0950322547</v>
      </c>
      <c r="E30" s="31">
        <f t="shared" si="2"/>
        <v>179.91667515337406</v>
      </c>
      <c r="F30" s="31">
        <f t="shared" si="2"/>
        <v>41.882091428571428</v>
      </c>
      <c r="G30" s="119">
        <f t="shared" si="0"/>
        <v>57.602585779078289</v>
      </c>
      <c r="H30" s="119">
        <f t="shared" si="11"/>
        <v>53.615169195705469</v>
      </c>
      <c r="I30" s="119">
        <f t="shared" si="1"/>
        <v>12.480863245714286</v>
      </c>
      <c r="J30" s="119">
        <f t="shared" si="1"/>
        <v>17.165570562165328</v>
      </c>
      <c r="K30" s="120">
        <f t="shared" si="12"/>
        <v>83.26160300358508</v>
      </c>
      <c r="L30" s="117"/>
      <c r="M30" s="118">
        <f>M29+($M$34-$M$29)/5</f>
        <v>13284.1312</v>
      </c>
      <c r="N30" s="118">
        <f>N29+($N$34-$N$29)/5</f>
        <v>492273.34649999999</v>
      </c>
      <c r="O30" s="117">
        <f t="shared" si="3"/>
        <v>0.41750126628571421</v>
      </c>
      <c r="P30">
        <f t="shared" si="4"/>
        <v>7.7357240164285717</v>
      </c>
      <c r="Q30">
        <f t="shared" si="5"/>
        <v>0.12441537735314283</v>
      </c>
      <c r="R30">
        <f t="shared" si="5"/>
        <v>2.3052457568957143</v>
      </c>
      <c r="S30">
        <f t="shared" si="6"/>
        <v>2.4296611342488572</v>
      </c>
      <c r="T30" s="117"/>
      <c r="U30" s="31">
        <f t="shared" si="7"/>
        <v>85.69126413783394</v>
      </c>
      <c r="V30">
        <v>2021</v>
      </c>
      <c r="W30" s="7">
        <f>W29-2%</f>
        <v>0.92999999999999994</v>
      </c>
      <c r="X30" s="8">
        <f t="shared" si="8"/>
        <v>10647795.956804229</v>
      </c>
      <c r="Y30">
        <f t="shared" si="9"/>
        <v>167.3225078926379</v>
      </c>
      <c r="Z30">
        <f t="shared" si="10"/>
        <v>49.862107352006099</v>
      </c>
      <c r="AB30">
        <v>2021</v>
      </c>
      <c r="AC30">
        <v>478.7787800191237</v>
      </c>
      <c r="AD30">
        <f t="shared" si="18"/>
        <v>7.1816817002868554</v>
      </c>
      <c r="AE30">
        <f t="shared" si="19"/>
        <v>23.938939000956186</v>
      </c>
      <c r="AF30">
        <f t="shared" si="20"/>
        <v>5.7453453602294848</v>
      </c>
      <c r="AG30">
        <f t="shared" si="21"/>
        <v>36.865966061472527</v>
      </c>
      <c r="AH30" s="135">
        <f t="shared" si="25"/>
        <v>0.1</v>
      </c>
      <c r="AI30">
        <f t="shared" si="22"/>
        <v>18.432983030736263</v>
      </c>
      <c r="AJ30" s="8">
        <f t="shared" si="23"/>
        <v>322577.20303788461</v>
      </c>
      <c r="AK30">
        <f t="shared" si="24"/>
        <v>1.5105829593688369</v>
      </c>
    </row>
    <row r="31" spans="1:37" x14ac:dyDescent="0.25">
      <c r="A31" s="88">
        <v>2022</v>
      </c>
      <c r="B31" s="59">
        <f t="shared" ref="B31:B43" si="26">B30</f>
        <v>11449242.964305623</v>
      </c>
      <c r="C31" s="118">
        <f t="shared" si="14"/>
        <v>2665224</v>
      </c>
      <c r="D31" s="118">
        <f t="shared" ref="D31:D33" si="27">D30+($D$34-$D$29)/5</f>
        <v>3695632.4627911169</v>
      </c>
      <c r="E31" s="31">
        <f t="shared" si="2"/>
        <v>179.91667515337406</v>
      </c>
      <c r="F31" s="31">
        <f t="shared" si="2"/>
        <v>41.882091428571428</v>
      </c>
      <c r="G31" s="119">
        <f t="shared" si="0"/>
        <v>58.074224415288981</v>
      </c>
      <c r="H31" s="119">
        <f t="shared" si="11"/>
        <v>53.615169195705469</v>
      </c>
      <c r="I31" s="119">
        <f t="shared" si="11"/>
        <v>12.480863245714286</v>
      </c>
      <c r="J31" s="119">
        <f t="shared" si="11"/>
        <v>17.306118875756116</v>
      </c>
      <c r="K31" s="120">
        <f t="shared" si="12"/>
        <v>83.402151317175864</v>
      </c>
      <c r="L31" s="117"/>
      <c r="M31" s="118">
        <f t="shared" ref="M31:M33" si="28">M30+($M$34-$M$29)/5</f>
        <v>13458.922399999999</v>
      </c>
      <c r="N31" s="118">
        <f t="shared" ref="N31:N33" si="29">N30+($N$34-$N$29)/5</f>
        <v>494835.64649999997</v>
      </c>
      <c r="O31" s="117">
        <f t="shared" si="3"/>
        <v>0.422994704</v>
      </c>
      <c r="P31">
        <f t="shared" si="4"/>
        <v>7.7759887307142854</v>
      </c>
      <c r="Q31">
        <f t="shared" si="5"/>
        <v>0.12605242179199999</v>
      </c>
      <c r="R31">
        <f t="shared" si="5"/>
        <v>2.3172446417528572</v>
      </c>
      <c r="S31">
        <f t="shared" si="6"/>
        <v>2.4432970635448572</v>
      </c>
      <c r="T31" s="117"/>
      <c r="U31" s="31">
        <f t="shared" si="7"/>
        <v>85.845448380720725</v>
      </c>
      <c r="V31">
        <v>2022</v>
      </c>
      <c r="W31" s="7">
        <f t="shared" ref="W31:W39" si="30">W30-2%</f>
        <v>0.90999999999999992</v>
      </c>
      <c r="X31" s="8">
        <f t="shared" si="8"/>
        <v>10418811.097518116</v>
      </c>
      <c r="Y31">
        <f t="shared" si="9"/>
        <v>163.72417438957041</v>
      </c>
      <c r="Z31">
        <f t="shared" si="10"/>
        <v>48.789803968091981</v>
      </c>
      <c r="AB31">
        <v>2022</v>
      </c>
      <c r="AC31">
        <v>488.35435561950624</v>
      </c>
      <c r="AD31">
        <f t="shared" si="18"/>
        <v>8.7903784011511128</v>
      </c>
      <c r="AE31">
        <f t="shared" si="19"/>
        <v>29.301261337170377</v>
      </c>
      <c r="AF31">
        <f t="shared" si="20"/>
        <v>7.0323027209208906</v>
      </c>
      <c r="AG31">
        <f t="shared" si="21"/>
        <v>45.123942459242379</v>
      </c>
      <c r="AH31" s="135">
        <f t="shared" si="25"/>
        <v>0.12000000000000001</v>
      </c>
      <c r="AI31">
        <f t="shared" si="22"/>
        <v>22.561971229621189</v>
      </c>
      <c r="AJ31" s="8">
        <f t="shared" si="23"/>
        <v>394834.49651837081</v>
      </c>
      <c r="AK31">
        <f t="shared" si="24"/>
        <v>1.8489535422674563</v>
      </c>
    </row>
    <row r="32" spans="1:37" x14ac:dyDescent="0.25">
      <c r="A32" s="88">
        <v>2023</v>
      </c>
      <c r="B32" s="59">
        <f t="shared" si="26"/>
        <v>11449242.964305623</v>
      </c>
      <c r="C32" s="118">
        <f t="shared" si="14"/>
        <v>2665224</v>
      </c>
      <c r="D32" s="118">
        <f t="shared" si="27"/>
        <v>3725645.8305499791</v>
      </c>
      <c r="E32" s="31">
        <f t="shared" si="2"/>
        <v>179.91667515337406</v>
      </c>
      <c r="F32" s="31">
        <f t="shared" si="2"/>
        <v>41.882091428571428</v>
      </c>
      <c r="G32" s="119">
        <f t="shared" si="0"/>
        <v>58.54586305149968</v>
      </c>
      <c r="H32" s="119">
        <f t="shared" si="11"/>
        <v>53.615169195705469</v>
      </c>
      <c r="I32" s="119">
        <f t="shared" si="11"/>
        <v>12.480863245714286</v>
      </c>
      <c r="J32" s="119">
        <f t="shared" si="11"/>
        <v>17.446667189346904</v>
      </c>
      <c r="K32" s="120">
        <f t="shared" si="12"/>
        <v>83.542699630766663</v>
      </c>
      <c r="L32" s="117"/>
      <c r="M32" s="118">
        <f t="shared" si="28"/>
        <v>13633.713599999999</v>
      </c>
      <c r="N32" s="118">
        <f t="shared" si="29"/>
        <v>497397.94649999996</v>
      </c>
      <c r="O32" s="117">
        <f t="shared" si="3"/>
        <v>0.42848814171428568</v>
      </c>
      <c r="P32">
        <f t="shared" si="4"/>
        <v>7.8162534449999992</v>
      </c>
      <c r="Q32">
        <f t="shared" si="5"/>
        <v>0.12768946623085714</v>
      </c>
      <c r="R32">
        <f t="shared" si="5"/>
        <v>2.3292435266099996</v>
      </c>
      <c r="S32">
        <f t="shared" si="6"/>
        <v>2.4569329928408568</v>
      </c>
      <c r="T32" s="117"/>
      <c r="U32" s="31">
        <f t="shared" si="7"/>
        <v>85.999632623607525</v>
      </c>
      <c r="V32">
        <v>2023</v>
      </c>
      <c r="W32" s="7">
        <f t="shared" si="30"/>
        <v>0.8899999999999999</v>
      </c>
      <c r="X32" s="8">
        <f t="shared" si="8"/>
        <v>10189826.238232004</v>
      </c>
      <c r="Y32">
        <f t="shared" si="9"/>
        <v>160.12584088650291</v>
      </c>
      <c r="Z32">
        <f t="shared" si="10"/>
        <v>47.71750058417787</v>
      </c>
      <c r="AB32">
        <v>2023</v>
      </c>
      <c r="AC32">
        <v>498.12144273189631</v>
      </c>
      <c r="AD32">
        <f t="shared" si="18"/>
        <v>10.460550297369824</v>
      </c>
      <c r="AE32">
        <f t="shared" si="19"/>
        <v>34.868500991232743</v>
      </c>
      <c r="AF32">
        <f t="shared" si="20"/>
        <v>8.3684402378958573</v>
      </c>
      <c r="AG32">
        <f t="shared" si="21"/>
        <v>53.697491526498425</v>
      </c>
      <c r="AH32" s="135">
        <f t="shared" si="25"/>
        <v>0.14000000000000001</v>
      </c>
      <c r="AI32">
        <f t="shared" si="22"/>
        <v>26.848745763249212</v>
      </c>
      <c r="AJ32" s="8">
        <f t="shared" si="23"/>
        <v>469853.05085686123</v>
      </c>
      <c r="AK32">
        <f t="shared" si="24"/>
        <v>2.2002547152982728</v>
      </c>
    </row>
    <row r="33" spans="1:37" x14ac:dyDescent="0.25">
      <c r="A33" s="88">
        <v>2024</v>
      </c>
      <c r="B33" s="59">
        <f t="shared" si="26"/>
        <v>11449242.964305623</v>
      </c>
      <c r="C33" s="118">
        <f t="shared" si="14"/>
        <v>2665224</v>
      </c>
      <c r="D33" s="118">
        <f t="shared" si="27"/>
        <v>3755659.1983088413</v>
      </c>
      <c r="E33" s="31">
        <f t="shared" si="2"/>
        <v>179.91667515337406</v>
      </c>
      <c r="F33" s="31">
        <f t="shared" si="2"/>
        <v>41.882091428571428</v>
      </c>
      <c r="G33" s="119">
        <f t="shared" si="0"/>
        <v>59.017501687710372</v>
      </c>
      <c r="H33" s="119">
        <f t="shared" si="11"/>
        <v>53.615169195705469</v>
      </c>
      <c r="I33" s="119">
        <f t="shared" si="11"/>
        <v>12.480863245714286</v>
      </c>
      <c r="J33" s="119">
        <f t="shared" si="11"/>
        <v>17.587215502937692</v>
      </c>
      <c r="K33" s="120">
        <f t="shared" si="12"/>
        <v>83.683247944357447</v>
      </c>
      <c r="L33" s="117"/>
      <c r="M33" s="118">
        <f t="shared" si="28"/>
        <v>13808.504799999999</v>
      </c>
      <c r="N33" s="118">
        <f t="shared" si="29"/>
        <v>499960.24649999995</v>
      </c>
      <c r="O33" s="117">
        <f t="shared" si="3"/>
        <v>0.43398157942857141</v>
      </c>
      <c r="P33">
        <f t="shared" si="4"/>
        <v>7.8565181592857147</v>
      </c>
      <c r="Q33">
        <f t="shared" si="5"/>
        <v>0.12932651066971429</v>
      </c>
      <c r="R33">
        <f t="shared" si="5"/>
        <v>2.3412424114671428</v>
      </c>
      <c r="S33">
        <f t="shared" si="6"/>
        <v>2.4705689221368572</v>
      </c>
      <c r="T33" s="117"/>
      <c r="U33" s="31">
        <f t="shared" si="7"/>
        <v>86.15381686649431</v>
      </c>
      <c r="V33">
        <v>2024</v>
      </c>
      <c r="W33" s="7">
        <f t="shared" si="30"/>
        <v>0.86999999999999988</v>
      </c>
      <c r="X33" s="8">
        <f t="shared" si="8"/>
        <v>9960841.3789458908</v>
      </c>
      <c r="Y33">
        <f t="shared" si="9"/>
        <v>156.52750738343542</v>
      </c>
      <c r="Z33">
        <f t="shared" si="10"/>
        <v>46.645197200263759</v>
      </c>
      <c r="AB33">
        <v>2024</v>
      </c>
      <c r="AC33">
        <v>508.08387158653426</v>
      </c>
      <c r="AD33">
        <f t="shared" si="18"/>
        <v>12.194012918076822</v>
      </c>
      <c r="AE33">
        <f t="shared" si="19"/>
        <v>40.646709726922744</v>
      </c>
      <c r="AF33">
        <f t="shared" si="20"/>
        <v>9.7552103344614576</v>
      </c>
      <c r="AG33">
        <f t="shared" si="21"/>
        <v>62.595932979461026</v>
      </c>
      <c r="AH33" s="135">
        <f t="shared" si="25"/>
        <v>0.16</v>
      </c>
      <c r="AI33">
        <f t="shared" si="22"/>
        <v>31.297966489730513</v>
      </c>
      <c r="AJ33" s="8">
        <f t="shared" si="23"/>
        <v>547714.41357028403</v>
      </c>
      <c r="AK33">
        <f t="shared" si="24"/>
        <v>2.564868353833416</v>
      </c>
    </row>
    <row r="34" spans="1:37" x14ac:dyDescent="0.25">
      <c r="A34" s="88">
        <v>2025</v>
      </c>
      <c r="B34" s="59">
        <f t="shared" si="26"/>
        <v>11449242.964305623</v>
      </c>
      <c r="C34" s="118">
        <f t="shared" si="14"/>
        <v>2665224</v>
      </c>
      <c r="D34" s="118">
        <f>MMS!W73</f>
        <v>3785672.566067704</v>
      </c>
      <c r="E34" s="31">
        <f t="shared" si="2"/>
        <v>179.91667515337406</v>
      </c>
      <c r="F34" s="31">
        <f t="shared" si="2"/>
        <v>41.882091428571428</v>
      </c>
      <c r="G34" s="119">
        <f t="shared" si="0"/>
        <v>59.489140323921063</v>
      </c>
      <c r="H34" s="119">
        <f t="shared" si="11"/>
        <v>53.615169195705469</v>
      </c>
      <c r="I34" s="119">
        <f t="shared" si="11"/>
        <v>12.480863245714286</v>
      </c>
      <c r="J34" s="119">
        <f t="shared" si="11"/>
        <v>17.727763816528476</v>
      </c>
      <c r="K34" s="120">
        <f t="shared" si="12"/>
        <v>83.823796257948231</v>
      </c>
      <c r="L34" s="117"/>
      <c r="M34" s="118">
        <f>MMS!W75</f>
        <v>13983.296000000002</v>
      </c>
      <c r="N34" s="118">
        <f>MMS!W74</f>
        <v>502522.5465</v>
      </c>
      <c r="O34" s="117">
        <f t="shared" si="3"/>
        <v>0.43947501714285714</v>
      </c>
      <c r="P34">
        <f t="shared" si="4"/>
        <v>7.8967828735714294</v>
      </c>
      <c r="Q34">
        <f t="shared" si="5"/>
        <v>0.13096355510857144</v>
      </c>
      <c r="R34">
        <f t="shared" si="5"/>
        <v>2.3532412963242861</v>
      </c>
      <c r="S34">
        <f t="shared" si="6"/>
        <v>2.4842048514328576</v>
      </c>
      <c r="T34" s="117"/>
      <c r="U34" s="31">
        <f t="shared" si="7"/>
        <v>86.308001109381095</v>
      </c>
      <c r="V34">
        <v>2025</v>
      </c>
      <c r="W34" s="7">
        <f t="shared" si="30"/>
        <v>0.84999999999999987</v>
      </c>
      <c r="X34" s="8">
        <f t="shared" si="8"/>
        <v>9731856.5196597781</v>
      </c>
      <c r="Y34">
        <f t="shared" si="9"/>
        <v>152.92917388036796</v>
      </c>
      <c r="Z34">
        <f t="shared" si="10"/>
        <v>45.572893816349648</v>
      </c>
      <c r="AB34">
        <v>2025</v>
      </c>
      <c r="AC34">
        <v>518.24554901826491</v>
      </c>
      <c r="AD34">
        <f t="shared" si="18"/>
        <v>13.992629823493152</v>
      </c>
      <c r="AE34">
        <f t="shared" si="19"/>
        <v>46.642099411643841</v>
      </c>
      <c r="AF34">
        <f t="shared" si="20"/>
        <v>11.194103858794522</v>
      </c>
      <c r="AG34">
        <f t="shared" si="21"/>
        <v>71.828833093931522</v>
      </c>
      <c r="AH34" s="135">
        <f t="shared" si="25"/>
        <v>0.18</v>
      </c>
      <c r="AI34">
        <f t="shared" si="22"/>
        <v>35.914416546965761</v>
      </c>
      <c r="AJ34" s="8">
        <f t="shared" si="23"/>
        <v>628502.28957190085</v>
      </c>
      <c r="AK34">
        <f t="shared" si="24"/>
        <v>2.9431864360238444</v>
      </c>
    </row>
    <row r="35" spans="1:37" x14ac:dyDescent="0.25">
      <c r="A35" s="88">
        <v>2026</v>
      </c>
      <c r="B35" s="59">
        <f t="shared" si="26"/>
        <v>11449242.964305623</v>
      </c>
      <c r="C35" s="118">
        <f t="shared" si="14"/>
        <v>2665224</v>
      </c>
      <c r="D35" s="118">
        <f>D34+($D$39-$D$34)/5</f>
        <v>3807516.1138794436</v>
      </c>
      <c r="E35" s="31">
        <f t="shared" si="2"/>
        <v>179.91667515337406</v>
      </c>
      <c r="F35" s="31">
        <f t="shared" si="2"/>
        <v>41.882091428571428</v>
      </c>
      <c r="G35" s="119">
        <f t="shared" si="0"/>
        <v>59.832396075248397</v>
      </c>
      <c r="H35" s="119">
        <f t="shared" si="11"/>
        <v>53.615169195705469</v>
      </c>
      <c r="I35" s="119">
        <f t="shared" si="11"/>
        <v>12.480863245714286</v>
      </c>
      <c r="J35" s="119">
        <f t="shared" si="11"/>
        <v>17.830054030424023</v>
      </c>
      <c r="K35" s="120">
        <f t="shared" si="12"/>
        <v>83.926086471843774</v>
      </c>
      <c r="L35" s="117"/>
      <c r="M35" s="118">
        <f>M34+($M$39-$M$34)/5</f>
        <v>14158.087200000002</v>
      </c>
      <c r="N35" s="118">
        <f>N34+($N$39-$N$34)/5</f>
        <v>505084.84649999999</v>
      </c>
      <c r="O35" s="117">
        <f t="shared" si="3"/>
        <v>0.44496845485714293</v>
      </c>
      <c r="P35">
        <f t="shared" si="4"/>
        <v>7.9370475878571423</v>
      </c>
      <c r="Q35">
        <f t="shared" si="5"/>
        <v>0.13260059954742859</v>
      </c>
      <c r="R35">
        <f t="shared" si="5"/>
        <v>2.3652401811814285</v>
      </c>
      <c r="S35">
        <f t="shared" si="6"/>
        <v>2.4978407807288572</v>
      </c>
      <c r="T35" s="117"/>
      <c r="U35" s="31">
        <f t="shared" si="7"/>
        <v>86.423927252572625</v>
      </c>
      <c r="V35">
        <v>2026</v>
      </c>
      <c r="W35" s="7">
        <f t="shared" si="30"/>
        <v>0.82999999999999985</v>
      </c>
      <c r="X35" s="8">
        <f t="shared" si="8"/>
        <v>9502871.6603736654</v>
      </c>
      <c r="Y35">
        <f t="shared" si="9"/>
        <v>149.33084037730046</v>
      </c>
      <c r="Z35">
        <f t="shared" si="10"/>
        <v>44.500590432435537</v>
      </c>
      <c r="AB35">
        <v>2026</v>
      </c>
      <c r="AC35">
        <v>528.61045999863018</v>
      </c>
      <c r="AD35">
        <f t="shared" si="18"/>
        <v>15.858313799958903</v>
      </c>
      <c r="AE35">
        <f t="shared" si="19"/>
        <v>52.861045999863016</v>
      </c>
      <c r="AF35">
        <f t="shared" si="20"/>
        <v>12.686651039967122</v>
      </c>
      <c r="AG35">
        <f t="shared" si="21"/>
        <v>81.406010839789033</v>
      </c>
      <c r="AH35" s="135">
        <f t="shared" si="25"/>
        <v>0.19999999999999998</v>
      </c>
      <c r="AI35">
        <f t="shared" si="22"/>
        <v>40.703005419894517</v>
      </c>
      <c r="AJ35" s="8">
        <f t="shared" si="23"/>
        <v>712302.59484815411</v>
      </c>
      <c r="AK35">
        <f t="shared" si="24"/>
        <v>3.3356112941603562</v>
      </c>
    </row>
    <row r="36" spans="1:37" x14ac:dyDescent="0.25">
      <c r="A36" s="88">
        <v>2027</v>
      </c>
      <c r="B36" s="59">
        <f t="shared" si="26"/>
        <v>11449242.964305623</v>
      </c>
      <c r="C36" s="118">
        <f t="shared" si="14"/>
        <v>2665224</v>
      </c>
      <c r="D36" s="118">
        <f t="shared" ref="D36:D38" si="31">D35+($D$39-$D$34)/5</f>
        <v>3829359.6616911832</v>
      </c>
      <c r="E36" s="31">
        <f t="shared" si="2"/>
        <v>179.91667515337406</v>
      </c>
      <c r="F36" s="31">
        <f t="shared" si="2"/>
        <v>41.882091428571428</v>
      </c>
      <c r="G36" s="119">
        <f t="shared" si="0"/>
        <v>60.175651826575731</v>
      </c>
      <c r="H36" s="119">
        <f t="shared" si="11"/>
        <v>53.615169195705469</v>
      </c>
      <c r="I36" s="119">
        <f t="shared" si="11"/>
        <v>12.480863245714286</v>
      </c>
      <c r="J36" s="119">
        <f t="shared" si="11"/>
        <v>17.932344244319566</v>
      </c>
      <c r="K36" s="120">
        <f t="shared" si="12"/>
        <v>84.028376685739318</v>
      </c>
      <c r="L36" s="117"/>
      <c r="M36" s="118">
        <f t="shared" ref="M36:M38" si="32">M35+($M$39-$M$34)/5</f>
        <v>14332.878400000001</v>
      </c>
      <c r="N36" s="118">
        <f t="shared" ref="N36:N38" si="33">N35+($N$39-$N$34)/5</f>
        <v>507647.14649999997</v>
      </c>
      <c r="O36" s="117">
        <f t="shared" si="3"/>
        <v>0.4504618925714286</v>
      </c>
      <c r="P36">
        <f t="shared" si="4"/>
        <v>7.977312302142856</v>
      </c>
      <c r="Q36">
        <f t="shared" si="5"/>
        <v>0.13423764398628571</v>
      </c>
      <c r="R36">
        <f t="shared" si="5"/>
        <v>2.3772390660385714</v>
      </c>
      <c r="S36">
        <f t="shared" si="6"/>
        <v>2.5114767100248572</v>
      </c>
      <c r="T36" s="117"/>
      <c r="U36" s="31">
        <f t="shared" si="7"/>
        <v>86.539853395764169</v>
      </c>
      <c r="V36">
        <v>2027</v>
      </c>
      <c r="W36" s="7">
        <f t="shared" si="30"/>
        <v>0.80999999999999983</v>
      </c>
      <c r="X36" s="8">
        <f t="shared" si="8"/>
        <v>9273886.8010875527</v>
      </c>
      <c r="Y36">
        <f t="shared" si="9"/>
        <v>145.73250687423297</v>
      </c>
      <c r="Z36">
        <f t="shared" si="10"/>
        <v>43.428287048521426</v>
      </c>
      <c r="AB36">
        <v>2027</v>
      </c>
      <c r="AC36">
        <v>539.18266919860275</v>
      </c>
      <c r="AD36">
        <f t="shared" si="18"/>
        <v>19.4105760911497</v>
      </c>
      <c r="AE36">
        <f t="shared" si="19"/>
        <v>64.701920303832324</v>
      </c>
      <c r="AF36">
        <f t="shared" si="20"/>
        <v>15.528460872919757</v>
      </c>
      <c r="AG36">
        <f t="shared" si="21"/>
        <v>99.640957267901783</v>
      </c>
      <c r="AH36" s="135">
        <f>AH35+4%</f>
        <v>0.24</v>
      </c>
      <c r="AI36">
        <f t="shared" si="22"/>
        <v>49.820478633950891</v>
      </c>
      <c r="AJ36" s="8">
        <f t="shared" si="23"/>
        <v>871858.37609414058</v>
      </c>
      <c r="AK36">
        <f t="shared" si="24"/>
        <v>4.0827882240522761</v>
      </c>
    </row>
    <row r="37" spans="1:37" x14ac:dyDescent="0.25">
      <c r="A37" s="88">
        <v>2028</v>
      </c>
      <c r="B37" s="59">
        <f t="shared" si="26"/>
        <v>11449242.964305623</v>
      </c>
      <c r="C37" s="118">
        <f t="shared" si="14"/>
        <v>2665224</v>
      </c>
      <c r="D37" s="118">
        <f t="shared" si="31"/>
        <v>3851203.2095029228</v>
      </c>
      <c r="E37" s="31">
        <f t="shared" si="2"/>
        <v>179.91667515337406</v>
      </c>
      <c r="F37" s="31">
        <f t="shared" si="2"/>
        <v>41.882091428571428</v>
      </c>
      <c r="G37" s="119">
        <f t="shared" si="0"/>
        <v>60.518907577903079</v>
      </c>
      <c r="H37" s="119">
        <f t="shared" si="11"/>
        <v>53.615169195705469</v>
      </c>
      <c r="I37" s="119">
        <f t="shared" si="11"/>
        <v>12.480863245714286</v>
      </c>
      <c r="J37" s="119">
        <f t="shared" si="11"/>
        <v>18.034634458215116</v>
      </c>
      <c r="K37" s="120">
        <f t="shared" si="12"/>
        <v>84.130666899634861</v>
      </c>
      <c r="L37" s="117"/>
      <c r="M37" s="118">
        <f t="shared" si="32"/>
        <v>14507.669600000001</v>
      </c>
      <c r="N37" s="118">
        <f t="shared" si="33"/>
        <v>510209.44649999996</v>
      </c>
      <c r="O37" s="117">
        <f t="shared" si="3"/>
        <v>0.45595533028571433</v>
      </c>
      <c r="P37">
        <f t="shared" si="4"/>
        <v>8.0175770164285716</v>
      </c>
      <c r="Q37">
        <f t="shared" si="5"/>
        <v>0.13587468842514286</v>
      </c>
      <c r="R37">
        <f t="shared" si="5"/>
        <v>2.3892379508957142</v>
      </c>
      <c r="S37">
        <f t="shared" si="6"/>
        <v>2.5251126393208572</v>
      </c>
      <c r="T37" s="117"/>
      <c r="U37" s="31">
        <f t="shared" si="7"/>
        <v>86.655779538955713</v>
      </c>
      <c r="V37">
        <v>2028</v>
      </c>
      <c r="W37" s="7">
        <f t="shared" si="30"/>
        <v>0.78999999999999981</v>
      </c>
      <c r="X37" s="8">
        <f t="shared" si="8"/>
        <v>9044901.94180144</v>
      </c>
      <c r="Y37">
        <f t="shared" si="9"/>
        <v>142.1341733711655</v>
      </c>
      <c r="Z37">
        <f t="shared" si="10"/>
        <v>42.355983664607315</v>
      </c>
      <c r="AB37">
        <v>2028</v>
      </c>
      <c r="AC37">
        <v>549.96632258257478</v>
      </c>
      <c r="AD37">
        <f t="shared" si="18"/>
        <v>21.448686580720416</v>
      </c>
      <c r="AE37">
        <f t="shared" si="19"/>
        <v>71.495621935734718</v>
      </c>
      <c r="AF37">
        <f t="shared" si="20"/>
        <v>17.158949264576336</v>
      </c>
      <c r="AG37">
        <f t="shared" si="21"/>
        <v>110.10325778103147</v>
      </c>
      <c r="AH37" s="135">
        <f t="shared" si="25"/>
        <v>0.26</v>
      </c>
      <c r="AI37">
        <f t="shared" si="22"/>
        <v>55.051628890515737</v>
      </c>
      <c r="AJ37" s="8">
        <f t="shared" si="23"/>
        <v>963403.50558402541</v>
      </c>
      <c r="AK37">
        <f t="shared" si="24"/>
        <v>4.5114809875777651</v>
      </c>
    </row>
    <row r="38" spans="1:37" x14ac:dyDescent="0.25">
      <c r="A38" s="88">
        <v>2029</v>
      </c>
      <c r="B38" s="59">
        <f t="shared" si="26"/>
        <v>11449242.964305623</v>
      </c>
      <c r="C38" s="118">
        <f t="shared" si="14"/>
        <v>2665224</v>
      </c>
      <c r="D38" s="118">
        <f t="shared" si="31"/>
        <v>3873046.7573146624</v>
      </c>
      <c r="E38" s="31">
        <f t="shared" si="2"/>
        <v>179.91667515337406</v>
      </c>
      <c r="F38" s="31">
        <f t="shared" si="2"/>
        <v>41.882091428571428</v>
      </c>
      <c r="G38" s="119">
        <f t="shared" si="0"/>
        <v>60.862163329230413</v>
      </c>
      <c r="H38" s="119">
        <f t="shared" si="11"/>
        <v>53.615169195705469</v>
      </c>
      <c r="I38" s="119">
        <f t="shared" si="11"/>
        <v>12.480863245714286</v>
      </c>
      <c r="J38" s="119">
        <f t="shared" si="11"/>
        <v>18.136924672110666</v>
      </c>
      <c r="K38" s="120">
        <f t="shared" si="12"/>
        <v>84.232957113530418</v>
      </c>
      <c r="L38" s="117"/>
      <c r="M38" s="118">
        <f t="shared" si="32"/>
        <v>14682.460800000001</v>
      </c>
      <c r="N38" s="118">
        <f t="shared" si="33"/>
        <v>512771.74649999995</v>
      </c>
      <c r="O38" s="117">
        <f t="shared" si="3"/>
        <v>0.46144876800000001</v>
      </c>
      <c r="P38">
        <f t="shared" si="4"/>
        <v>8.0578417307142853</v>
      </c>
      <c r="Q38">
        <f t="shared" si="5"/>
        <v>0.13751173286400001</v>
      </c>
      <c r="R38">
        <f t="shared" si="5"/>
        <v>2.4012368357528571</v>
      </c>
      <c r="S38">
        <f t="shared" si="6"/>
        <v>2.5387485686168572</v>
      </c>
      <c r="T38" s="117"/>
      <c r="U38" s="31">
        <f t="shared" si="7"/>
        <v>86.771705682147271</v>
      </c>
      <c r="V38">
        <v>2029</v>
      </c>
      <c r="W38" s="7">
        <f t="shared" si="30"/>
        <v>0.7699999999999998</v>
      </c>
      <c r="X38" s="8">
        <f t="shared" si="8"/>
        <v>8815917.0825153273</v>
      </c>
      <c r="Y38">
        <f t="shared" si="9"/>
        <v>138.53583986809801</v>
      </c>
      <c r="Z38">
        <f t="shared" si="10"/>
        <v>41.283680280693211</v>
      </c>
      <c r="AB38">
        <v>2029</v>
      </c>
      <c r="AC38">
        <v>560.96564903422632</v>
      </c>
      <c r="AD38">
        <f t="shared" si="18"/>
        <v>23.560557259437509</v>
      </c>
      <c r="AE38">
        <f t="shared" si="19"/>
        <v>78.535190864791687</v>
      </c>
      <c r="AF38">
        <f t="shared" si="20"/>
        <v>18.848445807550004</v>
      </c>
      <c r="AG38">
        <f t="shared" si="21"/>
        <v>120.94419393177921</v>
      </c>
      <c r="AH38" s="135">
        <f t="shared" si="25"/>
        <v>0.28000000000000003</v>
      </c>
      <c r="AI38">
        <f t="shared" si="22"/>
        <v>60.472096965889605</v>
      </c>
      <c r="AJ38" s="8">
        <f t="shared" si="23"/>
        <v>1058261.6969030683</v>
      </c>
      <c r="AK38">
        <f t="shared" si="24"/>
        <v>4.9556883463546546</v>
      </c>
    </row>
    <row r="39" spans="1:37" x14ac:dyDescent="0.25">
      <c r="A39" s="88">
        <v>2030</v>
      </c>
      <c r="B39" s="59">
        <f t="shared" si="26"/>
        <v>11449242.964305623</v>
      </c>
      <c r="C39" s="118">
        <f t="shared" si="14"/>
        <v>2665224</v>
      </c>
      <c r="D39" s="118">
        <f>MMS!X73</f>
        <v>3894890.3051264011</v>
      </c>
      <c r="E39" s="31">
        <f t="shared" si="2"/>
        <v>179.91667515337406</v>
      </c>
      <c r="F39" s="31">
        <f t="shared" si="2"/>
        <v>41.882091428571428</v>
      </c>
      <c r="G39" s="119">
        <f t="shared" si="0"/>
        <v>61.205419080557732</v>
      </c>
      <c r="H39" s="119">
        <f t="shared" si="11"/>
        <v>53.615169195705469</v>
      </c>
      <c r="I39" s="119">
        <f t="shared" si="11"/>
        <v>12.480863245714286</v>
      </c>
      <c r="J39" s="119">
        <f t="shared" si="11"/>
        <v>18.239214886006206</v>
      </c>
      <c r="K39" s="120">
        <f t="shared" si="12"/>
        <v>84.335247327425961</v>
      </c>
      <c r="L39" s="117"/>
      <c r="M39" s="118">
        <f>MMS!X75</f>
        <v>14857.252</v>
      </c>
      <c r="N39" s="118">
        <f>MMS!X74</f>
        <v>515334.0465</v>
      </c>
      <c r="O39" s="117">
        <f t="shared" si="3"/>
        <v>0.46694220571428569</v>
      </c>
      <c r="P39">
        <f t="shared" si="4"/>
        <v>8.0981064450000009</v>
      </c>
      <c r="Q39">
        <f t="shared" si="5"/>
        <v>0.13914877730285713</v>
      </c>
      <c r="R39">
        <f t="shared" si="5"/>
        <v>2.4132357206099999</v>
      </c>
      <c r="S39">
        <f t="shared" si="6"/>
        <v>2.5523844979128572</v>
      </c>
      <c r="T39" s="117"/>
      <c r="U39" s="31">
        <f t="shared" si="7"/>
        <v>86.887631825338815</v>
      </c>
      <c r="V39">
        <v>2030</v>
      </c>
      <c r="W39" s="7">
        <f t="shared" si="30"/>
        <v>0.74999999999999978</v>
      </c>
      <c r="X39" s="8">
        <f t="shared" si="8"/>
        <v>8586932.2232292145</v>
      </c>
      <c r="Y39">
        <f t="shared" si="9"/>
        <v>134.93750636503052</v>
      </c>
      <c r="Z39">
        <f t="shared" si="10"/>
        <v>40.211376896779093</v>
      </c>
      <c r="AB39">
        <v>2030</v>
      </c>
      <c r="AC39">
        <v>572.18496201491087</v>
      </c>
      <c r="AD39">
        <f t="shared" si="18"/>
        <v>25.748323290670992</v>
      </c>
      <c r="AE39">
        <f t="shared" si="19"/>
        <v>85.827744302236638</v>
      </c>
      <c r="AF39">
        <f t="shared" si="20"/>
        <v>20.598658632536797</v>
      </c>
      <c r="AG39">
        <f t="shared" si="21"/>
        <v>132.17472622544443</v>
      </c>
      <c r="AH39" s="135">
        <f t="shared" si="25"/>
        <v>0.30000000000000004</v>
      </c>
      <c r="AI39">
        <f t="shared" si="22"/>
        <v>66.087363112722215</v>
      </c>
      <c r="AJ39" s="8">
        <f t="shared" si="23"/>
        <v>1156528.8544726388</v>
      </c>
      <c r="AK39">
        <f t="shared" si="24"/>
        <v>5.4158594070875861</v>
      </c>
    </row>
    <row r="40" spans="1:37" x14ac:dyDescent="0.25">
      <c r="A40" s="88">
        <v>2035</v>
      </c>
      <c r="B40" s="59">
        <f t="shared" si="26"/>
        <v>11449242.964305623</v>
      </c>
      <c r="C40" s="118">
        <f t="shared" si="14"/>
        <v>2665224</v>
      </c>
      <c r="D40" s="8">
        <f>MMS!Y73</f>
        <v>4071406.3635431398</v>
      </c>
      <c r="E40" s="31">
        <f t="shared" si="2"/>
        <v>179.91667515337406</v>
      </c>
      <c r="F40" s="31">
        <f t="shared" si="2"/>
        <v>41.882091428571428</v>
      </c>
      <c r="G40" s="119">
        <f t="shared" si="0"/>
        <v>63.97924285567791</v>
      </c>
      <c r="H40" s="119">
        <f t="shared" si="11"/>
        <v>53.615169195705469</v>
      </c>
      <c r="I40" s="119">
        <f t="shared" si="11"/>
        <v>12.480863245714286</v>
      </c>
      <c r="J40" s="119">
        <f t="shared" si="11"/>
        <v>19.065814370992019</v>
      </c>
      <c r="K40" s="120">
        <f t="shared" si="12"/>
        <v>85.161846812411767</v>
      </c>
      <c r="M40">
        <f>MMS!Y75</f>
        <v>15955.026000000002</v>
      </c>
      <c r="N40" s="8">
        <f>MMS!Y74</f>
        <v>540957.04650000005</v>
      </c>
      <c r="O40" s="117">
        <f t="shared" si="3"/>
        <v>0.50144367428571424</v>
      </c>
      <c r="P40">
        <f t="shared" si="4"/>
        <v>8.5007535878571439</v>
      </c>
      <c r="Q40">
        <f t="shared" si="5"/>
        <v>0.14943021493714284</v>
      </c>
      <c r="R40">
        <f t="shared" si="5"/>
        <v>2.5332245691814288</v>
      </c>
      <c r="S40">
        <f t="shared" si="6"/>
        <v>2.6826547841185717</v>
      </c>
      <c r="U40" s="31">
        <f t="shared" si="7"/>
        <v>87.844501596530336</v>
      </c>
      <c r="V40">
        <v>2035</v>
      </c>
      <c r="W40" s="181">
        <f>W39-5%</f>
        <v>0.69999999999999973</v>
      </c>
      <c r="X40" s="8">
        <f t="shared" si="8"/>
        <v>8014470.0750139328</v>
      </c>
      <c r="Y40">
        <f t="shared" si="9"/>
        <v>125.9416726073618</v>
      </c>
      <c r="Z40">
        <f t="shared" si="10"/>
        <v>37.530618436993812</v>
      </c>
    </row>
    <row r="41" spans="1:37" x14ac:dyDescent="0.25">
      <c r="A41" s="88">
        <v>2040</v>
      </c>
      <c r="B41" s="59">
        <f t="shared" si="26"/>
        <v>11449242.964305623</v>
      </c>
      <c r="C41" s="118">
        <f t="shared" si="14"/>
        <v>2665224</v>
      </c>
      <c r="D41" s="8">
        <f>MMS!Z73</f>
        <v>4246215.4611080075</v>
      </c>
      <c r="E41" s="31">
        <f t="shared" si="2"/>
        <v>179.91667515337406</v>
      </c>
      <c r="F41" s="31">
        <f t="shared" si="2"/>
        <v>41.882091428571428</v>
      </c>
      <c r="G41" s="119">
        <f t="shared" si="0"/>
        <v>66.726242960268692</v>
      </c>
      <c r="H41" s="119">
        <f t="shared" ref="H41:J43" si="34">E41*$E$10/1000</f>
        <v>53.615169195705469</v>
      </c>
      <c r="I41" s="119">
        <f t="shared" si="34"/>
        <v>12.480863245714286</v>
      </c>
      <c r="J41" s="119">
        <f t="shared" si="34"/>
        <v>19.884420402160071</v>
      </c>
      <c r="K41" s="120">
        <f t="shared" si="12"/>
        <v>85.980452843579826</v>
      </c>
      <c r="M41">
        <f>MMS!Z75</f>
        <v>17052.8</v>
      </c>
      <c r="N41" s="8">
        <f>MMS!Z74</f>
        <v>566580.04650000005</v>
      </c>
      <c r="O41" s="117">
        <f t="shared" si="3"/>
        <v>0.5359451428571429</v>
      </c>
      <c r="P41">
        <f t="shared" si="4"/>
        <v>8.9034007307142851</v>
      </c>
      <c r="Q41">
        <f t="shared" si="5"/>
        <v>0.15971165257142858</v>
      </c>
      <c r="R41">
        <f t="shared" si="5"/>
        <v>2.6532134177528568</v>
      </c>
      <c r="S41">
        <f t="shared" si="6"/>
        <v>2.8129250703242854</v>
      </c>
      <c r="U41" s="31">
        <f t="shared" si="7"/>
        <v>88.793377913904109</v>
      </c>
      <c r="V41">
        <v>2040</v>
      </c>
      <c r="W41" s="181">
        <f t="shared" ref="W41:W43" si="35">W40-5%</f>
        <v>0.64999999999999969</v>
      </c>
      <c r="X41" s="8">
        <f t="shared" si="8"/>
        <v>7442007.926798651</v>
      </c>
      <c r="Y41">
        <f t="shared" si="9"/>
        <v>116.94583884969309</v>
      </c>
      <c r="Z41">
        <f t="shared" si="10"/>
        <v>34.849859977208546</v>
      </c>
    </row>
    <row r="42" spans="1:37" x14ac:dyDescent="0.25">
      <c r="A42" s="88">
        <v>2045</v>
      </c>
      <c r="B42" s="59">
        <f t="shared" si="26"/>
        <v>11449242.964305623</v>
      </c>
      <c r="C42" s="118">
        <f t="shared" si="14"/>
        <v>2665224</v>
      </c>
      <c r="D42" s="8">
        <f>MMS!AA73</f>
        <v>4433134.0350142941</v>
      </c>
      <c r="E42" s="31">
        <f t="shared" si="2"/>
        <v>179.91667515337406</v>
      </c>
      <c r="F42" s="31">
        <f t="shared" si="2"/>
        <v>41.882091428571428</v>
      </c>
      <c r="G42" s="119">
        <f t="shared" si="0"/>
        <v>69.663534835938904</v>
      </c>
      <c r="H42" s="119">
        <f t="shared" si="34"/>
        <v>53.615169195705469</v>
      </c>
      <c r="I42" s="119">
        <f t="shared" si="34"/>
        <v>12.480863245714286</v>
      </c>
      <c r="J42" s="119">
        <f t="shared" si="34"/>
        <v>20.759733381109793</v>
      </c>
      <c r="K42" s="120">
        <f t="shared" si="12"/>
        <v>86.855765822529548</v>
      </c>
      <c r="M42">
        <f>MMS!AA75</f>
        <v>18118.600000000002</v>
      </c>
      <c r="N42" s="8">
        <f>MMS!AA74</f>
        <v>592203.04650000005</v>
      </c>
      <c r="O42" s="117">
        <f t="shared" si="3"/>
        <v>0.56944171428571444</v>
      </c>
      <c r="P42">
        <f t="shared" si="4"/>
        <v>9.3060478735714298</v>
      </c>
      <c r="Q42">
        <f t="shared" si="5"/>
        <v>0.1696936308571429</v>
      </c>
      <c r="R42">
        <f t="shared" si="5"/>
        <v>2.7732022663242861</v>
      </c>
      <c r="S42">
        <f t="shared" si="6"/>
        <v>2.9428958971814292</v>
      </c>
      <c r="U42" s="31">
        <f t="shared" si="7"/>
        <v>89.798661719710978</v>
      </c>
      <c r="V42">
        <v>2045</v>
      </c>
      <c r="W42" s="181">
        <f t="shared" si="35"/>
        <v>0.59999999999999964</v>
      </c>
      <c r="X42" s="8">
        <f t="shared" si="8"/>
        <v>6869545.7785833692</v>
      </c>
      <c r="Y42">
        <f t="shared" si="9"/>
        <v>107.95000509202438</v>
      </c>
      <c r="Z42">
        <f t="shared" si="10"/>
        <v>32.169101517423265</v>
      </c>
    </row>
    <row r="43" spans="1:37" x14ac:dyDescent="0.25">
      <c r="A43" s="88">
        <v>2050</v>
      </c>
      <c r="B43" s="59">
        <f t="shared" si="26"/>
        <v>11449242.964305623</v>
      </c>
      <c r="C43" s="118">
        <f t="shared" si="14"/>
        <v>2665224</v>
      </c>
      <c r="D43" s="8">
        <f>MMS!AB73</f>
        <v>4620052.6089205807</v>
      </c>
      <c r="E43" s="31">
        <f t="shared" si="2"/>
        <v>179.91667515337406</v>
      </c>
      <c r="F43" s="31">
        <f t="shared" si="2"/>
        <v>41.882091428571428</v>
      </c>
      <c r="G43" s="119">
        <f t="shared" si="0"/>
        <v>72.60082671160913</v>
      </c>
      <c r="H43" s="119">
        <f t="shared" si="34"/>
        <v>53.615169195705469</v>
      </c>
      <c r="I43" s="119">
        <f t="shared" si="34"/>
        <v>12.480863245714286</v>
      </c>
      <c r="J43" s="119">
        <f t="shared" si="34"/>
        <v>21.635046360059523</v>
      </c>
      <c r="K43" s="120">
        <f t="shared" si="12"/>
        <v>87.731078801479271</v>
      </c>
      <c r="M43">
        <f>MMS!AB75</f>
        <v>19184.400000000001</v>
      </c>
      <c r="N43" s="8">
        <f>MMS!AB74</f>
        <v>617826.04650000005</v>
      </c>
      <c r="O43" s="117">
        <f t="shared" si="3"/>
        <v>0.60293828571428587</v>
      </c>
      <c r="P43">
        <f t="shared" si="4"/>
        <v>9.708695016428571</v>
      </c>
      <c r="Q43">
        <f t="shared" si="5"/>
        <v>0.17967560914285718</v>
      </c>
      <c r="R43">
        <f t="shared" si="5"/>
        <v>2.8931911148957141</v>
      </c>
      <c r="S43">
        <f t="shared" si="6"/>
        <v>3.0728667240385712</v>
      </c>
      <c r="U43" s="31">
        <f t="shared" si="7"/>
        <v>90.803945525517847</v>
      </c>
      <c r="V43">
        <v>2050</v>
      </c>
      <c r="W43" s="181">
        <f t="shared" si="35"/>
        <v>0.5499999999999996</v>
      </c>
      <c r="X43" s="8">
        <f t="shared" si="8"/>
        <v>6297083.6303680874</v>
      </c>
      <c r="Y43">
        <f t="shared" si="9"/>
        <v>98.954171334355664</v>
      </c>
      <c r="Z43">
        <f t="shared" si="10"/>
        <v>29.488343057637987</v>
      </c>
    </row>
  </sheetData>
  <mergeCells count="6">
    <mergeCell ref="D13:G13"/>
    <mergeCell ref="M13:R13"/>
    <mergeCell ref="AH23:AH25"/>
    <mergeCell ref="AJ23:AJ25"/>
    <mergeCell ref="AC24:AG24"/>
    <mergeCell ref="AI24:AI25"/>
  </mergeCells>
  <pageMargins left="0.7" right="0.7" top="0.75" bottom="0.75" header="0.3" footer="0.3"/>
  <pageSetup orientation="portrait" horizontalDpi="0" verticalDpi="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B26" workbookViewId="0">
      <selection activeCell="T46" sqref="T46"/>
    </sheetView>
  </sheetViews>
  <sheetFormatPr defaultRowHeight="15" x14ac:dyDescent="0.25"/>
  <cols>
    <col min="1" max="1" width="13.28515625" customWidth="1"/>
    <col min="2" max="2" width="14.140625" customWidth="1"/>
    <col min="3" max="3" width="11" customWidth="1"/>
    <col min="4" max="4" width="10.5703125" customWidth="1"/>
    <col min="11" max="11" width="10.140625" bestFit="1" customWidth="1"/>
    <col min="12" max="12" width="12.28515625" customWidth="1"/>
    <col min="13" max="13" width="10.28515625" customWidth="1"/>
  </cols>
  <sheetData>
    <row r="1" spans="1:18" x14ac:dyDescent="0.25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8" x14ac:dyDescent="0.25">
      <c r="A2" s="4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8" x14ac:dyDescent="0.25">
      <c r="A4" s="5" t="s">
        <v>5</v>
      </c>
      <c r="B4" s="5"/>
    </row>
    <row r="6" spans="1:18" x14ac:dyDescent="0.25">
      <c r="A6" t="s">
        <v>49</v>
      </c>
      <c r="B6" t="s">
        <v>7</v>
      </c>
      <c r="C6" t="s">
        <v>50</v>
      </c>
      <c r="D6" t="s">
        <v>8</v>
      </c>
    </row>
    <row r="7" spans="1:18" ht="60" x14ac:dyDescent="0.25">
      <c r="A7" s="1" t="s">
        <v>51</v>
      </c>
      <c r="B7" s="1" t="s">
        <v>52</v>
      </c>
      <c r="C7" s="1" t="s">
        <v>53</v>
      </c>
      <c r="D7">
        <v>0.1</v>
      </c>
    </row>
    <row r="8" spans="1:18" ht="45" customHeight="1" x14ac:dyDescent="0.25">
      <c r="A8" s="33" t="s">
        <v>54</v>
      </c>
      <c r="B8" s="1" t="s">
        <v>55</v>
      </c>
      <c r="C8" s="1" t="s">
        <v>53</v>
      </c>
      <c r="D8">
        <v>0.2</v>
      </c>
    </row>
    <row r="9" spans="1:18" ht="45" customHeight="1" x14ac:dyDescent="0.25">
      <c r="A9" s="33" t="s">
        <v>70</v>
      </c>
      <c r="B9" s="1" t="s">
        <v>71</v>
      </c>
      <c r="C9" s="1" t="s">
        <v>72</v>
      </c>
      <c r="D9">
        <v>0.3</v>
      </c>
    </row>
    <row r="10" spans="1:18" ht="45" customHeight="1" x14ac:dyDescent="0.25">
      <c r="A10" s="33" t="s">
        <v>32</v>
      </c>
      <c r="B10" s="1" t="s">
        <v>14</v>
      </c>
      <c r="C10" s="1" t="s">
        <v>33</v>
      </c>
      <c r="D10">
        <f>44/28</f>
        <v>1.5714285714285714</v>
      </c>
    </row>
    <row r="11" spans="1:18" ht="45" customHeight="1" x14ac:dyDescent="0.25">
      <c r="A11" s="33" t="s">
        <v>57</v>
      </c>
      <c r="B11" s="1" t="s">
        <v>58</v>
      </c>
      <c r="C11" s="1" t="s">
        <v>59</v>
      </c>
      <c r="D11">
        <v>298</v>
      </c>
    </row>
    <row r="12" spans="1:18" ht="45" customHeight="1" x14ac:dyDescent="0.25">
      <c r="A12" s="33" t="s">
        <v>65</v>
      </c>
      <c r="B12" s="1" t="s">
        <v>68</v>
      </c>
      <c r="C12" s="1" t="s">
        <v>69</v>
      </c>
      <c r="D12">
        <v>7.4999999999999997E-3</v>
      </c>
    </row>
    <row r="13" spans="1:18" ht="45" x14ac:dyDescent="0.25">
      <c r="A13" s="1" t="s">
        <v>66</v>
      </c>
      <c r="B13" t="s">
        <v>67</v>
      </c>
      <c r="C13" s="1" t="s">
        <v>56</v>
      </c>
      <c r="D13">
        <v>0.01</v>
      </c>
    </row>
    <row r="15" spans="1:18" x14ac:dyDescent="0.25">
      <c r="A15" s="5" t="s">
        <v>24</v>
      </c>
      <c r="B15" s="5"/>
      <c r="K15" s="193" t="s">
        <v>296</v>
      </c>
      <c r="L15" s="193"/>
      <c r="M15" s="193"/>
      <c r="N15" s="193"/>
      <c r="O15" s="193"/>
      <c r="P15" s="193"/>
      <c r="Q15" s="193"/>
      <c r="R15" s="193"/>
    </row>
    <row r="16" spans="1:18" x14ac:dyDescent="0.25">
      <c r="K16" s="193"/>
      <c r="L16" s="193"/>
      <c r="M16" s="193"/>
      <c r="N16" s="193"/>
      <c r="O16" s="193"/>
      <c r="P16" s="193"/>
      <c r="Q16" s="193"/>
      <c r="R16" s="193"/>
    </row>
    <row r="17" spans="1:20" ht="60" x14ac:dyDescent="0.25">
      <c r="A17" t="s">
        <v>0</v>
      </c>
      <c r="B17" s="1" t="s">
        <v>37</v>
      </c>
      <c r="C17" s="1" t="s">
        <v>38</v>
      </c>
      <c r="D17" s="1" t="s">
        <v>39</v>
      </c>
      <c r="E17" s="1" t="s">
        <v>60</v>
      </c>
      <c r="F17" s="1" t="s">
        <v>61</v>
      </c>
      <c r="G17" s="1" t="s">
        <v>62</v>
      </c>
      <c r="H17" s="1" t="s">
        <v>63</v>
      </c>
      <c r="I17" s="1" t="s">
        <v>64</v>
      </c>
      <c r="K17" s="83" t="s">
        <v>289</v>
      </c>
      <c r="L17" s="1" t="s">
        <v>290</v>
      </c>
      <c r="M17" s="1" t="s">
        <v>291</v>
      </c>
      <c r="N17" s="1" t="s">
        <v>292</v>
      </c>
      <c r="O17" s="1" t="s">
        <v>294</v>
      </c>
      <c r="P17" s="1" t="s">
        <v>293</v>
      </c>
      <c r="Q17" s="1" t="s">
        <v>295</v>
      </c>
      <c r="R17" s="1" t="s">
        <v>297</v>
      </c>
      <c r="T17" s="1" t="s">
        <v>299</v>
      </c>
    </row>
    <row r="18" spans="1:20" x14ac:dyDescent="0.25">
      <c r="A18">
        <v>2006</v>
      </c>
      <c r="B18" s="32">
        <f>INDEX((DirN2OManSoil!$B$15:$B$43),MATCH(IndN2OManSoil!A18,DirN2OManSoil!$A$15:A$43,0))</f>
        <v>7526219</v>
      </c>
      <c r="C18" s="32">
        <f>INDEX((DirN2OManSoil!$C$15:$C$43),MATCH(IndN2OManSoil!A18,DirN2OManSoil!$A$15:A$43,0))</f>
        <v>3316504</v>
      </c>
      <c r="D18" s="32">
        <v>962068.5</v>
      </c>
      <c r="E18">
        <f>(((B18*$D$7)+(D18*$D$8))*($D$13*$D$10))/1000</f>
        <v>14.850559428571431</v>
      </c>
      <c r="F18">
        <f>E18*$D$11/1000</f>
        <v>4.4254667097142866</v>
      </c>
      <c r="G18">
        <f>((B18+C18+D18)*$D$9*$D$12*$D$10)/1000</f>
        <v>41.73836994642857</v>
      </c>
      <c r="H18">
        <f>G18*$D$11/1000</f>
        <v>12.438034244035714</v>
      </c>
      <c r="I18">
        <f>F18+H18</f>
        <v>16.863500953750002</v>
      </c>
      <c r="K18" s="8">
        <f>INDEX((DirN2OManSoil!$X$15:$X$43),MATCH(A18,DirN2OManSoil!$A$15:A$43,0))</f>
        <v>7526219</v>
      </c>
      <c r="L18" s="32">
        <f>C18</f>
        <v>3316504</v>
      </c>
      <c r="M18" s="32">
        <f>D18</f>
        <v>962068.5</v>
      </c>
      <c r="N18">
        <f>(((K18*$D$7)+(M18*$D$8))*($D$13*$D$10))/1000</f>
        <v>14.850559428571431</v>
      </c>
      <c r="O18">
        <f>N18*$D$11/1000</f>
        <v>4.4254667097142866</v>
      </c>
      <c r="P18">
        <f>((K18+L18+M18)*$D$9*$D$12*$D$10)/1000</f>
        <v>41.73836994642857</v>
      </c>
      <c r="Q18">
        <f>P18*$D$11/1000</f>
        <v>12.438034244035714</v>
      </c>
      <c r="R18">
        <f>O18+Q18</f>
        <v>16.863500953750002</v>
      </c>
      <c r="T18">
        <f>I18-R18</f>
        <v>0</v>
      </c>
    </row>
    <row r="19" spans="1:20" x14ac:dyDescent="0.25">
      <c r="A19">
        <v>2007</v>
      </c>
      <c r="B19" s="32">
        <f>INDEX((DirN2OManSoil!$B$15:$B$43),MATCH(IndN2OManSoil!A19,DirN2OManSoil!$A$15:A$43,0))</f>
        <v>7267732</v>
      </c>
      <c r="C19" s="32">
        <f>INDEX((DirN2OManSoil!$C$15:$C$43),MATCH(IndN2OManSoil!A19,DirN2OManSoil!$A$15:A$43,0))</f>
        <v>3208625</v>
      </c>
      <c r="D19" s="32">
        <v>962068.5</v>
      </c>
      <c r="E19">
        <f t="shared" ref="E19:E24" si="0">((B19*$D$7)+(D19*$D$8))*$D$13*$D$10/1000</f>
        <v>14.444365571428575</v>
      </c>
      <c r="F19">
        <f t="shared" ref="F19:F46" si="1">E19*$D$11/1000</f>
        <v>4.3044209402857154</v>
      </c>
      <c r="G19">
        <f t="shared" ref="G19:G46" si="2">((B19+C19+D19)*$D$9*$D$12*$D$10)/1000</f>
        <v>40.443004446428567</v>
      </c>
      <c r="H19">
        <f>G19*$D$11/1000</f>
        <v>12.052015325035713</v>
      </c>
      <c r="I19">
        <f t="shared" ref="I19:I46" si="3">F19+H19</f>
        <v>16.356436265321427</v>
      </c>
      <c r="K19" s="8">
        <f>INDEX((DirN2OManSoil!$X$15:$X$43),MATCH(A19,DirN2OManSoil!$A$15:A$43,0))</f>
        <v>7267732</v>
      </c>
      <c r="L19" s="32">
        <f t="shared" ref="L19:L46" si="4">C19</f>
        <v>3208625</v>
      </c>
      <c r="M19" s="32">
        <f t="shared" ref="M19:M28" si="5">D19</f>
        <v>962068.5</v>
      </c>
      <c r="N19">
        <f t="shared" ref="N19:N46" si="6">(((K19*$D$7)+(M19*$D$8))*($D$13*$D$10))/1000</f>
        <v>14.444365571428575</v>
      </c>
      <c r="O19">
        <f t="shared" ref="O19:O46" si="7">N19*$D$11/1000</f>
        <v>4.3044209402857154</v>
      </c>
      <c r="P19">
        <f t="shared" ref="P19:P46" si="8">((K19+L19+M19)*$D$9*$D$12*$D$10)/1000</f>
        <v>40.443004446428567</v>
      </c>
      <c r="Q19">
        <f t="shared" ref="Q19:Q46" si="9">P19*$D$11/1000</f>
        <v>12.052015325035713</v>
      </c>
      <c r="R19">
        <f t="shared" ref="R19:R46" si="10">O19+Q19</f>
        <v>16.356436265321427</v>
      </c>
      <c r="T19">
        <f t="shared" ref="T19:T46" si="11">I19-R19</f>
        <v>0</v>
      </c>
    </row>
    <row r="20" spans="1:20" x14ac:dyDescent="0.25">
      <c r="A20">
        <v>2008</v>
      </c>
      <c r="B20" s="32">
        <f>INDEX((DirN2OManSoil!$B$15:$B$43),MATCH(IndN2OManSoil!A20,DirN2OManSoil!$A$15:A$43,0))</f>
        <v>6807140</v>
      </c>
      <c r="C20" s="32">
        <f>INDEX((DirN2OManSoil!$C$15:$C$43),MATCH(IndN2OManSoil!A20,DirN2OManSoil!$A$15:A$43,0))</f>
        <v>3064362</v>
      </c>
      <c r="D20" s="32">
        <v>962068.5</v>
      </c>
      <c r="E20">
        <f t="shared" si="0"/>
        <v>13.720578142857143</v>
      </c>
      <c r="F20">
        <f t="shared" si="1"/>
        <v>4.0887322865714291</v>
      </c>
      <c r="G20">
        <f t="shared" si="2"/>
        <v>38.30440998214285</v>
      </c>
      <c r="H20">
        <f t="shared" ref="H20:H46" si="12">G20*$D$11/1000</f>
        <v>11.414714174678569</v>
      </c>
      <c r="I20">
        <f t="shared" si="3"/>
        <v>15.503446461249997</v>
      </c>
      <c r="K20" s="8">
        <f>INDEX((DirN2OManSoil!$X$15:$X$43),MATCH(A20,DirN2OManSoil!$A$15:A$43,0))</f>
        <v>6807140</v>
      </c>
      <c r="L20" s="32">
        <f t="shared" si="4"/>
        <v>3064362</v>
      </c>
      <c r="M20" s="32">
        <f t="shared" si="5"/>
        <v>962068.5</v>
      </c>
      <c r="N20">
        <f t="shared" si="6"/>
        <v>13.720578142857143</v>
      </c>
      <c r="O20">
        <f t="shared" si="7"/>
        <v>4.0887322865714291</v>
      </c>
      <c r="P20">
        <f t="shared" si="8"/>
        <v>38.30440998214285</v>
      </c>
      <c r="Q20">
        <f t="shared" si="9"/>
        <v>11.414714174678569</v>
      </c>
      <c r="R20">
        <f t="shared" si="10"/>
        <v>15.503446461249997</v>
      </c>
      <c r="T20">
        <f t="shared" si="11"/>
        <v>0</v>
      </c>
    </row>
    <row r="21" spans="1:20" x14ac:dyDescent="0.25">
      <c r="A21">
        <v>2009</v>
      </c>
      <c r="B21" s="32">
        <f>INDEX((DirN2OManSoil!$B$15:$B$43),MATCH(IndN2OManSoil!A21,DirN2OManSoil!$A$15:A$43,0))</f>
        <v>6616456</v>
      </c>
      <c r="C21" s="32">
        <f>INDEX((DirN2OManSoil!$C$15:$C$43),MATCH(IndN2OManSoil!A21,DirN2OManSoil!$A$15:A$43,0))</f>
        <v>3013169</v>
      </c>
      <c r="D21" s="32">
        <v>962068.5</v>
      </c>
      <c r="E21">
        <f t="shared" si="0"/>
        <v>13.420931857142858</v>
      </c>
      <c r="F21">
        <f t="shared" si="1"/>
        <v>3.9994376934285714</v>
      </c>
      <c r="G21">
        <f t="shared" si="2"/>
        <v>37.449202017857139</v>
      </c>
      <c r="H21">
        <f t="shared" si="12"/>
        <v>11.159862201321427</v>
      </c>
      <c r="I21">
        <f t="shared" si="3"/>
        <v>15.159299894749999</v>
      </c>
      <c r="K21" s="8">
        <f>INDEX((DirN2OManSoil!$X$15:$X$43),MATCH(A21,DirN2OManSoil!$A$15:A$43,0))</f>
        <v>6616456</v>
      </c>
      <c r="L21" s="32">
        <f t="shared" si="4"/>
        <v>3013169</v>
      </c>
      <c r="M21" s="32">
        <f t="shared" si="5"/>
        <v>962068.5</v>
      </c>
      <c r="N21">
        <f t="shared" si="6"/>
        <v>13.420931857142859</v>
      </c>
      <c r="O21">
        <f t="shared" si="7"/>
        <v>3.9994376934285718</v>
      </c>
      <c r="P21">
        <f t="shared" si="8"/>
        <v>37.449202017857139</v>
      </c>
      <c r="Q21">
        <f t="shared" si="9"/>
        <v>11.159862201321427</v>
      </c>
      <c r="R21">
        <f t="shared" si="10"/>
        <v>15.159299894749999</v>
      </c>
      <c r="T21">
        <f t="shared" si="11"/>
        <v>0</v>
      </c>
    </row>
    <row r="22" spans="1:20" x14ac:dyDescent="0.25">
      <c r="A22">
        <v>2010</v>
      </c>
      <c r="B22" s="32">
        <f>INDEX((DirN2OManSoil!$B$15:$B$43),MATCH(IndN2OManSoil!A22,DirN2OManSoil!$A$15:A$43,0))</f>
        <v>7468310</v>
      </c>
      <c r="C22" s="32">
        <f>INDEX((DirN2OManSoil!$C$15:$C$43),MATCH(IndN2OManSoil!A22,DirN2OManSoil!$A$15:A$43,0))</f>
        <v>3012269</v>
      </c>
      <c r="D22" s="32">
        <v>962068.5</v>
      </c>
      <c r="E22">
        <f t="shared" si="0"/>
        <v>14.759559571428571</v>
      </c>
      <c r="F22">
        <f t="shared" si="1"/>
        <v>4.3983487522857141</v>
      </c>
      <c r="G22">
        <f t="shared" si="2"/>
        <v>40.457932232142852</v>
      </c>
      <c r="H22">
        <f>G22*$D$11/1000</f>
        <v>12.05646380517857</v>
      </c>
      <c r="I22">
        <f t="shared" si="3"/>
        <v>16.454812557464283</v>
      </c>
      <c r="K22" s="8">
        <f>INDEX((DirN2OManSoil!$X$15:$X$43),MATCH(A22,DirN2OManSoil!$A$15:A$43,0))</f>
        <v>7468310</v>
      </c>
      <c r="L22" s="32">
        <f t="shared" si="4"/>
        <v>3012269</v>
      </c>
      <c r="M22" s="32">
        <f t="shared" si="5"/>
        <v>962068.5</v>
      </c>
      <c r="N22">
        <f t="shared" si="6"/>
        <v>14.759559571428571</v>
      </c>
      <c r="O22">
        <f t="shared" si="7"/>
        <v>4.3983487522857141</v>
      </c>
      <c r="P22">
        <f t="shared" si="8"/>
        <v>40.457932232142852</v>
      </c>
      <c r="Q22">
        <f t="shared" si="9"/>
        <v>12.05646380517857</v>
      </c>
      <c r="R22">
        <f t="shared" si="10"/>
        <v>16.454812557464283</v>
      </c>
      <c r="T22">
        <f t="shared" si="11"/>
        <v>0</v>
      </c>
    </row>
    <row r="23" spans="1:20" x14ac:dyDescent="0.25">
      <c r="A23">
        <v>2011</v>
      </c>
      <c r="B23" s="32">
        <f>INDEX((DirN2OManSoil!$B$15:$B$43),MATCH(IndN2OManSoil!A23,DirN2OManSoil!$A$15:A$43,0))</f>
        <v>7834140</v>
      </c>
      <c r="C23" s="32">
        <f>INDEX((DirN2OManSoil!$C$15:$C$43),MATCH(IndN2OManSoil!A23,DirN2OManSoil!$A$15:A$43,0))</f>
        <v>2902017</v>
      </c>
      <c r="D23" s="32">
        <v>962068.5</v>
      </c>
      <c r="E23">
        <f t="shared" si="0"/>
        <v>15.334435285714285</v>
      </c>
      <c r="F23">
        <f t="shared" si="1"/>
        <v>4.5696617151428569</v>
      </c>
      <c r="G23">
        <f t="shared" si="2"/>
        <v>41.361583017857143</v>
      </c>
      <c r="H23">
        <f t="shared" si="12"/>
        <v>12.325751739321429</v>
      </c>
      <c r="I23">
        <f t="shared" si="3"/>
        <v>16.895413454464286</v>
      </c>
      <c r="K23" s="8">
        <f>INDEX((DirN2OManSoil!$X$15:$X$43),MATCH(A23,DirN2OManSoil!$A$15:A$43,0))</f>
        <v>7834140</v>
      </c>
      <c r="L23" s="32">
        <f t="shared" si="4"/>
        <v>2902017</v>
      </c>
      <c r="M23" s="32">
        <f t="shared" si="5"/>
        <v>962068.5</v>
      </c>
      <c r="N23">
        <f t="shared" si="6"/>
        <v>15.334435285714285</v>
      </c>
      <c r="O23">
        <f t="shared" si="7"/>
        <v>4.5696617151428569</v>
      </c>
      <c r="P23">
        <f t="shared" si="8"/>
        <v>41.361583017857143</v>
      </c>
      <c r="Q23">
        <f t="shared" si="9"/>
        <v>12.325751739321429</v>
      </c>
      <c r="R23">
        <f t="shared" si="10"/>
        <v>16.895413454464286</v>
      </c>
      <c r="T23">
        <f t="shared" si="11"/>
        <v>0</v>
      </c>
    </row>
    <row r="24" spans="1:20" x14ac:dyDescent="0.25">
      <c r="A24">
        <v>2012</v>
      </c>
      <c r="B24" s="32">
        <f>INDEX((DirN2OManSoil!$B$15:$B$43),MATCH(IndN2OManSoil!A24,DirN2OManSoil!$A$15:A$43,0))</f>
        <v>9700004</v>
      </c>
      <c r="C24" s="32">
        <f>INDEX((DirN2OManSoil!$C$15:$C$43),MATCH(IndN2OManSoil!A24,DirN2OManSoil!$A$15:A$43,0))</f>
        <v>2697461</v>
      </c>
      <c r="D24" s="32">
        <v>962068.5</v>
      </c>
      <c r="E24">
        <f t="shared" si="0"/>
        <v>18.266507285714287</v>
      </c>
      <c r="F24">
        <f t="shared" si="1"/>
        <v>5.4434191711428577</v>
      </c>
      <c r="G24">
        <f t="shared" si="2"/>
        <v>47.235493446428571</v>
      </c>
      <c r="H24">
        <f t="shared" si="12"/>
        <v>14.076177047035713</v>
      </c>
      <c r="I24">
        <f t="shared" si="3"/>
        <v>19.51959621817857</v>
      </c>
      <c r="K24" s="8">
        <f>INDEX((DirN2OManSoil!$X$15:$X$43),MATCH(A24,DirN2OManSoil!$A$15:A$43,0))</f>
        <v>9700004</v>
      </c>
      <c r="L24" s="32">
        <f t="shared" si="4"/>
        <v>2697461</v>
      </c>
      <c r="M24" s="32">
        <f t="shared" si="5"/>
        <v>962068.5</v>
      </c>
      <c r="N24">
        <f t="shared" si="6"/>
        <v>18.266507285714287</v>
      </c>
      <c r="O24">
        <f t="shared" si="7"/>
        <v>5.4434191711428577</v>
      </c>
      <c r="P24">
        <f t="shared" si="8"/>
        <v>47.235493446428571</v>
      </c>
      <c r="Q24">
        <f t="shared" si="9"/>
        <v>14.076177047035713</v>
      </c>
      <c r="R24">
        <f t="shared" si="10"/>
        <v>19.51959621817857</v>
      </c>
      <c r="T24">
        <f t="shared" si="11"/>
        <v>0</v>
      </c>
    </row>
    <row r="25" spans="1:20" x14ac:dyDescent="0.25">
      <c r="A25">
        <v>2013</v>
      </c>
      <c r="B25" s="32">
        <f>INDEX((DirN2OManSoil!$B$15:$B$43),MATCH(IndN2OManSoil!A25,DirN2OManSoil!$A$15:A$43,0))</f>
        <v>9967255</v>
      </c>
      <c r="C25" s="32">
        <f>INDEX((DirN2OManSoil!$C$15:$C$43),MATCH(IndN2OManSoil!A25,DirN2OManSoil!$A$15:A$43,0))</f>
        <v>2665224</v>
      </c>
      <c r="D25" s="32">
        <v>962068.5</v>
      </c>
      <c r="E25">
        <f>((B25*$D$7)+(D25*$D$8))*$D$13*$D$10/1000</f>
        <v>18.686473142857142</v>
      </c>
      <c r="F25">
        <f t="shared" si="1"/>
        <v>5.568568996571428</v>
      </c>
      <c r="G25">
        <f t="shared" si="2"/>
        <v>48.066435803571423</v>
      </c>
      <c r="H25">
        <f t="shared" si="12"/>
        <v>14.323797869464284</v>
      </c>
      <c r="I25">
        <f t="shared" si="3"/>
        <v>19.892366866035712</v>
      </c>
      <c r="K25" s="8">
        <f>INDEX((DirN2OManSoil!$X$15:$X$43),MATCH(A25,DirN2OManSoil!$A$15:A$43,0))</f>
        <v>9967255</v>
      </c>
      <c r="L25" s="32">
        <f t="shared" si="4"/>
        <v>2665224</v>
      </c>
      <c r="M25" s="32">
        <f t="shared" si="5"/>
        <v>962068.5</v>
      </c>
      <c r="N25">
        <f t="shared" si="6"/>
        <v>18.686473142857142</v>
      </c>
      <c r="O25">
        <f t="shared" si="7"/>
        <v>5.568568996571428</v>
      </c>
      <c r="P25">
        <f t="shared" si="8"/>
        <v>48.066435803571423</v>
      </c>
      <c r="Q25">
        <f t="shared" si="9"/>
        <v>14.323797869464284</v>
      </c>
      <c r="R25">
        <f t="shared" si="10"/>
        <v>19.892366866035712</v>
      </c>
      <c r="T25">
        <f t="shared" si="11"/>
        <v>0</v>
      </c>
    </row>
    <row r="26" spans="1:20" x14ac:dyDescent="0.25">
      <c r="A26">
        <v>2014</v>
      </c>
      <c r="B26" s="32">
        <f>INDEX((DirN2OManSoil!$B$15:$B$43),MATCH(IndN2OManSoil!A26,DirN2OManSoil!$A$15:A$43,0))</f>
        <v>10166600.1</v>
      </c>
      <c r="C26" s="32">
        <f>INDEX((DirN2OManSoil!$C$15:$C$43),MATCH(IndN2OManSoil!A26,DirN2OManSoil!$A$15:A$43,0))</f>
        <v>2665224</v>
      </c>
      <c r="D26" s="32">
        <v>962068.5</v>
      </c>
      <c r="E26">
        <f t="shared" ref="E26:E46" si="13">((B26*$D$7)+(D26*$D$8))*$D$13*$D$10/1000</f>
        <v>18.999729728571431</v>
      </c>
      <c r="F26">
        <f t="shared" si="1"/>
        <v>5.6619194591142872</v>
      </c>
      <c r="G26">
        <f t="shared" si="2"/>
        <v>48.771263121428568</v>
      </c>
      <c r="H26">
        <f t="shared" si="12"/>
        <v>14.533836410185714</v>
      </c>
      <c r="I26">
        <f t="shared" si="3"/>
        <v>20.195755869300001</v>
      </c>
      <c r="K26" s="8">
        <f>INDEX((DirN2OManSoil!$X$15:$X$43),MATCH(A26,DirN2OManSoil!$A$15:A$43,0))</f>
        <v>10166600.1</v>
      </c>
      <c r="L26" s="32">
        <f t="shared" si="4"/>
        <v>2665224</v>
      </c>
      <c r="M26" s="32">
        <f t="shared" si="5"/>
        <v>962068.5</v>
      </c>
      <c r="N26">
        <f t="shared" si="6"/>
        <v>18.999729728571431</v>
      </c>
      <c r="O26">
        <f t="shared" si="7"/>
        <v>5.6619194591142872</v>
      </c>
      <c r="P26">
        <f t="shared" si="8"/>
        <v>48.771263121428568</v>
      </c>
      <c r="Q26">
        <f t="shared" si="9"/>
        <v>14.533836410185714</v>
      </c>
      <c r="R26">
        <f t="shared" si="10"/>
        <v>20.195755869300001</v>
      </c>
      <c r="T26">
        <f t="shared" si="11"/>
        <v>0</v>
      </c>
    </row>
    <row r="27" spans="1:20" x14ac:dyDescent="0.25">
      <c r="A27">
        <v>2015</v>
      </c>
      <c r="B27" s="32">
        <f>INDEX((DirN2OManSoil!$B$15:$B$43),MATCH(IndN2OManSoil!A27,DirN2OManSoil!$A$15:A$43,0))</f>
        <v>10369932.102</v>
      </c>
      <c r="C27" s="32">
        <f>INDEX((DirN2OManSoil!$C$15:$C$43),MATCH(IndN2OManSoil!A27,DirN2OManSoil!$A$15:A$43,0))</f>
        <v>2665224</v>
      </c>
      <c r="D27" s="32">
        <v>962068.5</v>
      </c>
      <c r="E27">
        <f t="shared" si="13"/>
        <v>19.319251446000003</v>
      </c>
      <c r="F27">
        <f t="shared" si="1"/>
        <v>5.7571369309080014</v>
      </c>
      <c r="G27">
        <f t="shared" si="2"/>
        <v>49.49018698564285</v>
      </c>
      <c r="H27">
        <f t="shared" si="12"/>
        <v>14.748075721721568</v>
      </c>
      <c r="I27">
        <f t="shared" si="3"/>
        <v>20.50521265262957</v>
      </c>
      <c r="K27" s="8">
        <f>INDEX((DirN2OManSoil!$X$15:$X$43),MATCH(A27,DirN2OManSoil!$A$15:A$43,0))</f>
        <v>10369932.102</v>
      </c>
      <c r="L27" s="32">
        <f t="shared" si="4"/>
        <v>2665224</v>
      </c>
      <c r="M27" s="32">
        <f t="shared" si="5"/>
        <v>962068.5</v>
      </c>
      <c r="N27">
        <f t="shared" si="6"/>
        <v>19.319251446000003</v>
      </c>
      <c r="O27">
        <f t="shared" si="7"/>
        <v>5.7571369309080014</v>
      </c>
      <c r="P27">
        <f t="shared" si="8"/>
        <v>49.49018698564285</v>
      </c>
      <c r="Q27">
        <f t="shared" si="9"/>
        <v>14.748075721721568</v>
      </c>
      <c r="R27">
        <f t="shared" si="10"/>
        <v>20.50521265262957</v>
      </c>
      <c r="T27">
        <f t="shared" si="11"/>
        <v>0</v>
      </c>
    </row>
    <row r="28" spans="1:20" x14ac:dyDescent="0.25">
      <c r="A28">
        <v>2016</v>
      </c>
      <c r="B28" s="32">
        <f>INDEX((DirN2OManSoil!$B$15:$B$43),MATCH(IndN2OManSoil!A28,DirN2OManSoil!$A$15:A$43,0))</f>
        <v>10577330.744039999</v>
      </c>
      <c r="C28" s="32">
        <f>INDEX((DirN2OManSoil!$C$15:$C$43),MATCH(IndN2OManSoil!A28,DirN2OManSoil!$A$15:A$43,0))</f>
        <v>2665224</v>
      </c>
      <c r="D28" s="32">
        <v>962068.5</v>
      </c>
      <c r="E28">
        <f t="shared" si="13"/>
        <v>19.645163597777145</v>
      </c>
      <c r="F28">
        <f t="shared" si="1"/>
        <v>5.8542587521375893</v>
      </c>
      <c r="G28">
        <f t="shared" si="2"/>
        <v>50.223489327141422</v>
      </c>
      <c r="H28">
        <f t="shared" si="12"/>
        <v>14.966599819488144</v>
      </c>
      <c r="I28">
        <f t="shared" si="3"/>
        <v>20.820858571625735</v>
      </c>
      <c r="K28" s="8">
        <f>INDEX((DirN2OManSoil!$X$15:$X$43),MATCH(A28,DirN2OManSoil!$A$15:A$43,0))</f>
        <v>10471557.436599599</v>
      </c>
      <c r="L28" s="32">
        <f t="shared" si="4"/>
        <v>2665224</v>
      </c>
      <c r="M28" s="32">
        <f t="shared" si="5"/>
        <v>962068.5</v>
      </c>
      <c r="N28">
        <f t="shared" si="6"/>
        <v>19.4789484003708</v>
      </c>
      <c r="O28">
        <f t="shared" si="7"/>
        <v>5.8047266233104979</v>
      </c>
      <c r="P28">
        <f t="shared" si="8"/>
        <v>49.849505132977143</v>
      </c>
      <c r="Q28">
        <f t="shared" si="9"/>
        <v>14.855152529627189</v>
      </c>
      <c r="R28">
        <f t="shared" si="10"/>
        <v>20.659879152937688</v>
      </c>
      <c r="T28">
        <f t="shared" si="11"/>
        <v>0.1609794186880471</v>
      </c>
    </row>
    <row r="29" spans="1:20" x14ac:dyDescent="0.25">
      <c r="A29">
        <v>2017</v>
      </c>
      <c r="B29" s="32">
        <f>INDEX((DirN2OManSoil!$B$15:$B$43),MATCH(IndN2OManSoil!A29,DirN2OManSoil!$A$15:A$43,0))</f>
        <v>10788877.3589208</v>
      </c>
      <c r="C29" s="32">
        <f>INDEX((DirN2OManSoil!$C$15:$C$43),MATCH(IndN2OManSoil!A29,DirN2OManSoil!$A$15:A$43,0))</f>
        <v>2665224</v>
      </c>
      <c r="D29" s="32">
        <v>962068.5</v>
      </c>
      <c r="E29">
        <f t="shared" si="13"/>
        <v>19.977593992589828</v>
      </c>
      <c r="F29">
        <f t="shared" si="1"/>
        <v>5.9533230097917684</v>
      </c>
      <c r="G29">
        <f t="shared" si="2"/>
        <v>50.97145771546996</v>
      </c>
      <c r="H29">
        <f t="shared" si="12"/>
        <v>15.18949439921005</v>
      </c>
      <c r="I29">
        <f t="shared" si="3"/>
        <v>21.142817409001818</v>
      </c>
      <c r="K29" s="8">
        <f>INDEX((DirN2OManSoil!$X$15:$X$43),MATCH(A29,DirN2OManSoil!$A$15:A$43,0))</f>
        <v>10573099.811742384</v>
      </c>
      <c r="L29" s="32">
        <f t="shared" si="4"/>
        <v>2665224</v>
      </c>
      <c r="M29" s="8">
        <f>INDEX((DirN2OManSoil!$AJ$26:$AJ$43),MATCH(A29,DirN2OManSoil!$A$26:A$43,0))+D29</f>
        <v>1021670.7947133952</v>
      </c>
      <c r="N29">
        <f t="shared" si="6"/>
        <v>19.825836487551562</v>
      </c>
      <c r="O29">
        <f t="shared" si="7"/>
        <v>5.9080992732903663</v>
      </c>
      <c r="P29">
        <f t="shared" si="8"/>
        <v>50.419266644254357</v>
      </c>
      <c r="Q29">
        <f t="shared" si="9"/>
        <v>15.024941459987799</v>
      </c>
      <c r="R29">
        <f t="shared" si="10"/>
        <v>20.933040733278165</v>
      </c>
      <c r="T29">
        <f t="shared" si="11"/>
        <v>0.20977667572365277</v>
      </c>
    </row>
    <row r="30" spans="1:20" x14ac:dyDescent="0.25">
      <c r="A30">
        <v>2018</v>
      </c>
      <c r="B30" s="32">
        <f>INDEX((DirN2OManSoil!$B$15:$B$43),MATCH(IndN2OManSoil!A30,DirN2OManSoil!$A$15:A$43,0))</f>
        <v>11004654.906099215</v>
      </c>
      <c r="C30" s="32">
        <f>INDEX((DirN2OManSoil!$C$15:$C$43),MATCH(IndN2OManSoil!A30,DirN2OManSoil!$A$15:A$43,0))</f>
        <v>2665224</v>
      </c>
      <c r="D30" s="32">
        <v>962068.5</v>
      </c>
      <c r="E30">
        <f t="shared" si="13"/>
        <v>20.316672995298767</v>
      </c>
      <c r="F30">
        <f t="shared" si="1"/>
        <v>6.0543685525990325</v>
      </c>
      <c r="G30">
        <f t="shared" si="2"/>
        <v>51.734385471565076</v>
      </c>
      <c r="H30">
        <f t="shared" si="12"/>
        <v>15.416846870526394</v>
      </c>
      <c r="I30">
        <f t="shared" si="3"/>
        <v>21.471215423125425</v>
      </c>
      <c r="K30" s="8">
        <f>INDEX((DirN2OManSoil!$X$15:$X$43),MATCH(A30,DirN2OManSoil!$A$15:A$43,0))</f>
        <v>10674515.258916238</v>
      </c>
      <c r="L30" s="32">
        <f t="shared" si="4"/>
        <v>2665224</v>
      </c>
      <c r="M30" s="8">
        <f>INDEX((DirN2OManSoil!$AJ$26:$AJ$43),MATCH(A30,DirN2OManSoil!$A$26:A$43,0))+D30</f>
        <v>1083657.1812153261</v>
      </c>
      <c r="N30">
        <f t="shared" si="6"/>
        <v>20.180017976402258</v>
      </c>
      <c r="O30">
        <f t="shared" si="7"/>
        <v>6.0136453569678734</v>
      </c>
      <c r="P30">
        <f t="shared" si="8"/>
        <v>50.997008841893731</v>
      </c>
      <c r="Q30">
        <f t="shared" si="9"/>
        <v>15.197108634884332</v>
      </c>
      <c r="R30">
        <f t="shared" si="10"/>
        <v>21.210753991852204</v>
      </c>
      <c r="T30">
        <f t="shared" si="11"/>
        <v>0.26046143127322097</v>
      </c>
    </row>
    <row r="31" spans="1:20" x14ac:dyDescent="0.25">
      <c r="A31">
        <v>2019</v>
      </c>
      <c r="B31" s="32">
        <f>INDEX((DirN2OManSoil!$B$15:$B$43),MATCH(IndN2OManSoil!A31,DirN2OManSoil!$A$15:A$43,0))</f>
        <v>11224748.004221199</v>
      </c>
      <c r="C31" s="32">
        <f>INDEX((DirN2OManSoil!$C$15:$C$43),MATCH(IndN2OManSoil!A31,DirN2OManSoil!$A$15:A$43,0))</f>
        <v>2665224</v>
      </c>
      <c r="D31" s="32">
        <v>962068.5</v>
      </c>
      <c r="E31">
        <f t="shared" si="13"/>
        <v>20.662533578061883</v>
      </c>
      <c r="F31">
        <f t="shared" si="1"/>
        <v>6.1574350062624408</v>
      </c>
      <c r="G31">
        <f t="shared" si="2"/>
        <v>52.512571782782096</v>
      </c>
      <c r="H31">
        <f t="shared" si="12"/>
        <v>15.648746391269066</v>
      </c>
      <c r="I31">
        <f t="shared" si="3"/>
        <v>21.806181397531507</v>
      </c>
      <c r="K31" s="8">
        <f>INDEX((DirN2OManSoil!$X$15:$X$43),MATCH(A31,DirN2OManSoil!$A$15:A$43,0))</f>
        <v>10775758.08405235</v>
      </c>
      <c r="L31" s="32">
        <f t="shared" si="4"/>
        <v>2665224</v>
      </c>
      <c r="M31" s="8">
        <f>INDEX((DirN2OManSoil!$AJ$26:$AJ$43),MATCH(A31,DirN2OManSoil!$A$26:A$43,0))+D31</f>
        <v>1148099.182259449</v>
      </c>
      <c r="N31">
        <f t="shared" si="6"/>
        <v>20.541645847754822</v>
      </c>
      <c r="O31">
        <f t="shared" si="7"/>
        <v>6.1214104626309371</v>
      </c>
      <c r="P31">
        <f t="shared" si="8"/>
        <v>51.58282304874529</v>
      </c>
      <c r="Q31">
        <f t="shared" si="9"/>
        <v>15.371681268526096</v>
      </c>
      <c r="R31">
        <f t="shared" si="10"/>
        <v>21.493091731157033</v>
      </c>
      <c r="T31">
        <f t="shared" si="11"/>
        <v>0.31308966637447355</v>
      </c>
    </row>
    <row r="32" spans="1:20" x14ac:dyDescent="0.25">
      <c r="A32">
        <v>2020</v>
      </c>
      <c r="B32" s="32">
        <f>INDEX((DirN2OManSoil!$B$15:$B$43),MATCH(IndN2OManSoil!A32,DirN2OManSoil!$A$15:A$43,0))</f>
        <v>11449242.964305623</v>
      </c>
      <c r="C32" s="32">
        <f>INDEX((DirN2OManSoil!$C$15:$C$43),MATCH(IndN2OManSoil!A32,DirN2OManSoil!$A$15:A$43,0))</f>
        <v>2665224</v>
      </c>
      <c r="D32" s="32">
        <v>962068.5</v>
      </c>
      <c r="E32">
        <f t="shared" si="13"/>
        <v>21.015311372480269</v>
      </c>
      <c r="F32">
        <f t="shared" si="1"/>
        <v>6.2625627889991202</v>
      </c>
      <c r="G32">
        <f t="shared" si="2"/>
        <v>53.306321820223452</v>
      </c>
      <c r="H32">
        <f t="shared" si="12"/>
        <v>15.885283902426588</v>
      </c>
      <c r="I32">
        <f t="shared" si="3"/>
        <v>22.147846691425709</v>
      </c>
      <c r="K32" s="8">
        <f>INDEX((DirN2OManSoil!$X$15:$X$43),MATCH(A32,DirN2OManSoil!$A$15:A$43,0))</f>
        <v>10876780.816090342</v>
      </c>
      <c r="L32" s="32">
        <f t="shared" si="4"/>
        <v>2665224</v>
      </c>
      <c r="M32" s="8">
        <f>INDEX((DirN2OManSoil!$AJ$26:$AJ$43),MATCH(A32,DirN2OManSoil!$A$26:A$43,0))+D32</f>
        <v>1215070.2278728508</v>
      </c>
      <c r="N32">
        <f t="shared" si="6"/>
        <v>20.910876284313787</v>
      </c>
      <c r="O32">
        <f t="shared" si="7"/>
        <v>6.2314411327255081</v>
      </c>
      <c r="P32">
        <f t="shared" si="8"/>
        <v>52.176801048298422</v>
      </c>
      <c r="Q32">
        <f t="shared" si="9"/>
        <v>15.54868671239293</v>
      </c>
      <c r="R32">
        <f t="shared" si="10"/>
        <v>21.780127845118439</v>
      </c>
      <c r="T32">
        <f t="shared" si="11"/>
        <v>0.36771884630726959</v>
      </c>
    </row>
    <row r="33" spans="1:20" x14ac:dyDescent="0.25">
      <c r="A33">
        <v>2021</v>
      </c>
      <c r="B33" s="32">
        <f>INDEX((DirN2OManSoil!$B$15:$B$43),MATCH(IndN2OManSoil!A33,DirN2OManSoil!$A$15:A$43,0))</f>
        <v>11449242.964305623</v>
      </c>
      <c r="C33" s="32">
        <f>INDEX((DirN2OManSoil!$C$15:$C$43),MATCH(IndN2OManSoil!A33,DirN2OManSoil!$A$15:A$43,0))</f>
        <v>2665224</v>
      </c>
      <c r="D33" s="32">
        <v>962068.5</v>
      </c>
      <c r="E33">
        <f t="shared" si="13"/>
        <v>21.015311372480269</v>
      </c>
      <c r="F33">
        <f t="shared" si="1"/>
        <v>6.2625627889991202</v>
      </c>
      <c r="G33">
        <f t="shared" si="2"/>
        <v>53.306321820223452</v>
      </c>
      <c r="H33">
        <f t="shared" si="12"/>
        <v>15.885283902426588</v>
      </c>
      <c r="I33">
        <f t="shared" si="3"/>
        <v>22.147846691425709</v>
      </c>
      <c r="K33" s="8">
        <f>INDEX((DirN2OManSoil!$X$15:$X$43),MATCH(A33,DirN2OManSoil!$A$15:A$43,0))</f>
        <v>10647795.956804229</v>
      </c>
      <c r="L33" s="32">
        <f t="shared" si="4"/>
        <v>2665224</v>
      </c>
      <c r="M33" s="8">
        <f>INDEX((DirN2OManSoil!$AJ$26:$AJ$43),MATCH(A33,DirN2OManSoil!$A$26:A$43,0))+D33</f>
        <v>1284645.7030378846</v>
      </c>
      <c r="N33">
        <f t="shared" si="6"/>
        <v>20.769708713097142</v>
      </c>
      <c r="O33">
        <f t="shared" si="7"/>
        <v>6.1893731965029479</v>
      </c>
      <c r="P33">
        <f t="shared" si="8"/>
        <v>51.613175011584602</v>
      </c>
      <c r="Q33">
        <f t="shared" si="9"/>
        <v>15.380726153452212</v>
      </c>
      <c r="R33">
        <f t="shared" si="10"/>
        <v>21.570099349955161</v>
      </c>
      <c r="T33">
        <f t="shared" si="11"/>
        <v>0.57774734147054829</v>
      </c>
    </row>
    <row r="34" spans="1:20" x14ac:dyDescent="0.25">
      <c r="A34">
        <v>2022</v>
      </c>
      <c r="B34" s="32">
        <f>INDEX((DirN2OManSoil!$B$15:$B$43),MATCH(IndN2OManSoil!A34,DirN2OManSoil!$A$15:A$43,0))</f>
        <v>11449242.964305623</v>
      </c>
      <c r="C34" s="32">
        <f>INDEX((DirN2OManSoil!$C$15:$C$43),MATCH(IndN2OManSoil!A34,DirN2OManSoil!$A$15:A$43,0))</f>
        <v>2665224</v>
      </c>
      <c r="D34" s="32">
        <v>962068.5</v>
      </c>
      <c r="E34">
        <f t="shared" si="13"/>
        <v>21.015311372480269</v>
      </c>
      <c r="F34">
        <f t="shared" si="1"/>
        <v>6.2625627889991202</v>
      </c>
      <c r="G34">
        <f t="shared" si="2"/>
        <v>53.306321820223452</v>
      </c>
      <c r="H34">
        <f t="shared" si="12"/>
        <v>15.885283902426588</v>
      </c>
      <c r="I34">
        <f t="shared" si="3"/>
        <v>22.147846691425709</v>
      </c>
      <c r="K34" s="8">
        <f>INDEX((DirN2OManSoil!$X$15:$X$43),MATCH(A34,DirN2OManSoil!$A$15:A$43,0))</f>
        <v>10418811.097518116</v>
      </c>
      <c r="L34" s="32">
        <f t="shared" si="4"/>
        <v>2665224</v>
      </c>
      <c r="M34" s="8">
        <f>INDEX((DirN2OManSoil!$AJ$26:$AJ$43),MATCH(A34,DirN2OManSoil!$A$26:A$43,0))+D34</f>
        <v>1356902.9965183707</v>
      </c>
      <c r="N34">
        <f t="shared" si="6"/>
        <v>20.636969713729066</v>
      </c>
      <c r="O34">
        <f t="shared" si="7"/>
        <v>6.1498169746912614</v>
      </c>
      <c r="P34">
        <f t="shared" si="8"/>
        <v>51.05903111820043</v>
      </c>
      <c r="Q34">
        <f t="shared" si="9"/>
        <v>15.215591273223728</v>
      </c>
      <c r="R34">
        <f t="shared" si="10"/>
        <v>21.365408247914988</v>
      </c>
      <c r="T34">
        <f t="shared" si="11"/>
        <v>0.78243844351072056</v>
      </c>
    </row>
    <row r="35" spans="1:20" x14ac:dyDescent="0.25">
      <c r="A35">
        <v>2023</v>
      </c>
      <c r="B35" s="32">
        <f>INDEX((DirN2OManSoil!$B$15:$B$43),MATCH(IndN2OManSoil!A35,DirN2OManSoil!$A$15:A$43,0))</f>
        <v>11449242.964305623</v>
      </c>
      <c r="C35" s="32">
        <f>INDEX((DirN2OManSoil!$C$15:$C$43),MATCH(IndN2OManSoil!A35,DirN2OManSoil!$A$15:A$43,0))</f>
        <v>2665224</v>
      </c>
      <c r="D35" s="32">
        <v>962068.5</v>
      </c>
      <c r="E35">
        <f t="shared" si="13"/>
        <v>21.015311372480269</v>
      </c>
      <c r="F35">
        <f t="shared" si="1"/>
        <v>6.2625627889991202</v>
      </c>
      <c r="G35">
        <f t="shared" si="2"/>
        <v>53.306321820223452</v>
      </c>
      <c r="H35">
        <f t="shared" si="12"/>
        <v>15.885283902426588</v>
      </c>
      <c r="I35">
        <f t="shared" si="3"/>
        <v>22.147846691425709</v>
      </c>
      <c r="K35" s="8">
        <f>INDEX((DirN2OManSoil!$X$15:$X$43),MATCH(A35,DirN2OManSoil!$A$15:A$43,0))</f>
        <v>10189826.238232004</v>
      </c>
      <c r="L35" s="32">
        <f t="shared" si="4"/>
        <v>2665224</v>
      </c>
      <c r="M35" s="8">
        <f>INDEX((DirN2OManSoil!$AJ$26:$AJ$43),MATCH(A35,DirN2OManSoil!$A$26:A$43,0))+D35</f>
        <v>1431921.5508568613</v>
      </c>
      <c r="N35">
        <f t="shared" si="6"/>
        <v>20.512908962771856</v>
      </c>
      <c r="O35">
        <f t="shared" si="7"/>
        <v>6.1128468709060133</v>
      </c>
      <c r="P35">
        <f t="shared" si="8"/>
        <v>50.514650254278479</v>
      </c>
      <c r="Q35">
        <f t="shared" si="9"/>
        <v>15.053365775774987</v>
      </c>
      <c r="R35">
        <f t="shared" si="10"/>
        <v>21.166212646681</v>
      </c>
      <c r="T35">
        <f t="shared" si="11"/>
        <v>0.98163404474470894</v>
      </c>
    </row>
    <row r="36" spans="1:20" x14ac:dyDescent="0.25">
      <c r="A36">
        <v>2024</v>
      </c>
      <c r="B36" s="32">
        <f>INDEX((DirN2OManSoil!$B$15:$B$43),MATCH(IndN2OManSoil!A36,DirN2OManSoil!$A$15:A$43,0))</f>
        <v>11449242.964305623</v>
      </c>
      <c r="C36" s="32">
        <f>INDEX((DirN2OManSoil!$C$15:$C$43),MATCH(IndN2OManSoil!A36,DirN2OManSoil!$A$15:A$43,0))</f>
        <v>2665224</v>
      </c>
      <c r="D36" s="32">
        <v>962068.5</v>
      </c>
      <c r="E36">
        <f t="shared" si="13"/>
        <v>21.015311372480269</v>
      </c>
      <c r="F36">
        <f t="shared" si="1"/>
        <v>6.2625627889991202</v>
      </c>
      <c r="G36">
        <f t="shared" si="2"/>
        <v>53.306321820223452</v>
      </c>
      <c r="H36">
        <f t="shared" si="12"/>
        <v>15.885283902426588</v>
      </c>
      <c r="I36">
        <f t="shared" si="3"/>
        <v>22.147846691425709</v>
      </c>
      <c r="K36" s="8">
        <f>INDEX((DirN2OManSoil!$X$15:$X$43),MATCH(A36,DirN2OManSoil!$A$15:A$43,0))</f>
        <v>9960841.3789458908</v>
      </c>
      <c r="L36" s="32">
        <f t="shared" si="4"/>
        <v>2665224</v>
      </c>
      <c r="M36" s="8">
        <f>INDEX((DirN2OManSoil!$AJ$26:$AJ$43),MATCH(A36,DirN2OManSoil!$A$26:A$43,0))+D36</f>
        <v>1509782.9135702839</v>
      </c>
      <c r="N36">
        <f t="shared" si="6"/>
        <v>20.39778275242158</v>
      </c>
      <c r="O36">
        <f t="shared" si="7"/>
        <v>6.078539260221631</v>
      </c>
      <c r="P36">
        <f t="shared" si="8"/>
        <v>49.980320748539327</v>
      </c>
      <c r="Q36">
        <f t="shared" si="9"/>
        <v>14.894135583064719</v>
      </c>
      <c r="R36">
        <f t="shared" si="10"/>
        <v>20.972674843286349</v>
      </c>
      <c r="T36">
        <f t="shared" si="11"/>
        <v>1.1751718481393603</v>
      </c>
    </row>
    <row r="37" spans="1:20" x14ac:dyDescent="0.25">
      <c r="A37">
        <v>2025</v>
      </c>
      <c r="B37" s="32">
        <f>INDEX((DirN2OManSoil!$B$15:$B$43),MATCH(IndN2OManSoil!A37,DirN2OManSoil!$A$15:A$43,0))</f>
        <v>11449242.964305623</v>
      </c>
      <c r="C37" s="32">
        <f>INDEX((DirN2OManSoil!$C$15:$C$43),MATCH(IndN2OManSoil!A37,DirN2OManSoil!$A$15:A$43,0))</f>
        <v>2665224</v>
      </c>
      <c r="D37" s="32">
        <v>962068.5</v>
      </c>
      <c r="E37">
        <f t="shared" si="13"/>
        <v>21.015311372480269</v>
      </c>
      <c r="F37">
        <f t="shared" si="1"/>
        <v>6.2625627889991202</v>
      </c>
      <c r="G37">
        <f t="shared" si="2"/>
        <v>53.306321820223452</v>
      </c>
      <c r="H37">
        <f t="shared" si="12"/>
        <v>15.885283902426588</v>
      </c>
      <c r="I37">
        <f t="shared" si="3"/>
        <v>22.147846691425709</v>
      </c>
      <c r="K37" s="8">
        <f>INDEX((DirN2OManSoil!$X$15:$X$43),MATCH(A37,DirN2OManSoil!$A$15:A$43,0))</f>
        <v>9731856.5196597781</v>
      </c>
      <c r="L37" s="32">
        <f t="shared" si="4"/>
        <v>2665224</v>
      </c>
      <c r="M37" s="8">
        <f>INDEX((DirN2OManSoil!$AJ$26:$AJ$43),MATCH(A37,DirN2OManSoil!$A$26:A$43,0))+D37</f>
        <v>1590570.7895719009</v>
      </c>
      <c r="N37">
        <f t="shared" si="6"/>
        <v>20.291854155262772</v>
      </c>
      <c r="O37">
        <f t="shared" si="7"/>
        <v>6.0469725382683066</v>
      </c>
      <c r="P37">
        <f t="shared" si="8"/>
        <v>49.456338557640571</v>
      </c>
      <c r="Q37">
        <f t="shared" si="9"/>
        <v>14.73798889017689</v>
      </c>
      <c r="R37">
        <f t="shared" si="10"/>
        <v>20.784961428445197</v>
      </c>
      <c r="T37">
        <f t="shared" si="11"/>
        <v>1.3628852629805124</v>
      </c>
    </row>
    <row r="38" spans="1:20" x14ac:dyDescent="0.25">
      <c r="A38">
        <v>2026</v>
      </c>
      <c r="B38" s="32">
        <f>INDEX((DirN2OManSoil!$B$15:$B$43),MATCH(IndN2OManSoil!A38,DirN2OManSoil!$A$15:A$43,0))</f>
        <v>11449242.964305623</v>
      </c>
      <c r="C38" s="32">
        <f>INDEX((DirN2OManSoil!$C$15:$C$43),MATCH(IndN2OManSoil!A38,DirN2OManSoil!$A$15:A$43,0))</f>
        <v>2665224</v>
      </c>
      <c r="D38" s="32">
        <v>962068.5</v>
      </c>
      <c r="E38">
        <f t="shared" si="13"/>
        <v>21.015311372480269</v>
      </c>
      <c r="F38">
        <f t="shared" si="1"/>
        <v>6.2625627889991202</v>
      </c>
      <c r="G38">
        <f t="shared" si="2"/>
        <v>53.306321820223452</v>
      </c>
      <c r="H38">
        <f t="shared" si="12"/>
        <v>15.885283902426588</v>
      </c>
      <c r="I38">
        <f t="shared" si="3"/>
        <v>22.147846691425709</v>
      </c>
      <c r="K38" s="8">
        <f>INDEX((DirN2OManSoil!$X$15:$X$43),MATCH(A38,DirN2OManSoil!$A$15:A$43,0))</f>
        <v>9502871.6603736654</v>
      </c>
      <c r="L38" s="32">
        <f t="shared" si="4"/>
        <v>2665224</v>
      </c>
      <c r="M38" s="8">
        <f>INDEX((DirN2OManSoil!$AJ$26:$AJ$43),MATCH(A38,DirN2OManSoil!$A$26:A$43,0))+D38</f>
        <v>1674371.0948481541</v>
      </c>
      <c r="N38">
        <f t="shared" si="6"/>
        <v>20.195393192967106</v>
      </c>
      <c r="O38">
        <f t="shared" si="7"/>
        <v>6.0182271715041979</v>
      </c>
      <c r="P38">
        <f t="shared" si="8"/>
        <v>48.943007455962857</v>
      </c>
      <c r="Q38">
        <f t="shared" si="9"/>
        <v>14.585016221876931</v>
      </c>
      <c r="R38">
        <f t="shared" si="10"/>
        <v>20.603243393381128</v>
      </c>
      <c r="T38">
        <f t="shared" si="11"/>
        <v>1.5446032980445814</v>
      </c>
    </row>
    <row r="39" spans="1:20" x14ac:dyDescent="0.25">
      <c r="A39">
        <v>2027</v>
      </c>
      <c r="B39" s="32">
        <f>INDEX((DirN2OManSoil!$B$15:$B$43),MATCH(IndN2OManSoil!A39,DirN2OManSoil!$A$15:A$43,0))</f>
        <v>11449242.964305623</v>
      </c>
      <c r="C39" s="32">
        <f>INDEX((DirN2OManSoil!$C$15:$C$43),MATCH(IndN2OManSoil!A39,DirN2OManSoil!$A$15:A$43,0))</f>
        <v>2665224</v>
      </c>
      <c r="D39" s="32">
        <v>962068.5</v>
      </c>
      <c r="E39">
        <f t="shared" si="13"/>
        <v>21.015311372480269</v>
      </c>
      <c r="F39">
        <f t="shared" si="1"/>
        <v>6.2625627889991202</v>
      </c>
      <c r="G39">
        <f t="shared" si="2"/>
        <v>53.306321820223452</v>
      </c>
      <c r="H39">
        <f t="shared" si="12"/>
        <v>15.885283902426588</v>
      </c>
      <c r="I39">
        <f t="shared" si="3"/>
        <v>22.147846691425709</v>
      </c>
      <c r="K39" s="8">
        <f>INDEX((DirN2OManSoil!$X$15:$X$43),MATCH(A39,DirN2OManSoil!$A$15:A$43,0))</f>
        <v>9273886.8010875527</v>
      </c>
      <c r="L39" s="32">
        <f t="shared" si="4"/>
        <v>2665224</v>
      </c>
      <c r="M39" s="8">
        <f>INDEX((DirN2OManSoil!$AJ$26:$AJ$43),MATCH(A39,DirN2OManSoil!$A$26:A$43,0))+D39</f>
        <v>1833926.8760941406</v>
      </c>
      <c r="N39">
        <f t="shared" si="6"/>
        <v>20.337020869433459</v>
      </c>
      <c r="O39">
        <f t="shared" si="7"/>
        <v>6.0604322190911706</v>
      </c>
      <c r="P39">
        <f t="shared" si="8"/>
        <v>48.697526072892408</v>
      </c>
      <c r="Q39">
        <f t="shared" si="9"/>
        <v>14.511862769721938</v>
      </c>
      <c r="R39">
        <f t="shared" si="10"/>
        <v>20.572294988813109</v>
      </c>
      <c r="T39">
        <f t="shared" si="11"/>
        <v>1.5755517026126</v>
      </c>
    </row>
    <row r="40" spans="1:20" x14ac:dyDescent="0.25">
      <c r="A40">
        <v>2028</v>
      </c>
      <c r="B40" s="32">
        <f>INDEX((DirN2OManSoil!$B$15:$B$43),MATCH(IndN2OManSoil!A40,DirN2OManSoil!$A$15:A$43,0))</f>
        <v>11449242.964305623</v>
      </c>
      <c r="C40" s="32">
        <f>INDEX((DirN2OManSoil!$C$15:$C$43),MATCH(IndN2OManSoil!A40,DirN2OManSoil!$A$15:A$43,0))</f>
        <v>2665224</v>
      </c>
      <c r="D40" s="32">
        <v>962068.5</v>
      </c>
      <c r="E40">
        <f t="shared" si="13"/>
        <v>21.015311372480269</v>
      </c>
      <c r="F40">
        <f t="shared" si="1"/>
        <v>6.2625627889991202</v>
      </c>
      <c r="G40">
        <f t="shared" si="2"/>
        <v>53.306321820223452</v>
      </c>
      <c r="H40">
        <f t="shared" si="12"/>
        <v>15.885283902426588</v>
      </c>
      <c r="I40">
        <f t="shared" si="3"/>
        <v>22.147846691425709</v>
      </c>
      <c r="K40" s="8">
        <f>INDEX((DirN2OManSoil!$X$15:$X$43),MATCH(A40,DirN2OManSoil!$A$15:A$43,0))</f>
        <v>9044901.94180144</v>
      </c>
      <c r="L40" s="32">
        <f t="shared" si="4"/>
        <v>2665224</v>
      </c>
      <c r="M40" s="8">
        <f>INDEX((DirN2OManSoil!$AJ$26:$AJ$43),MATCH(A40,DirN2OManSoil!$A$26:A$43,0))+D40</f>
        <v>1925472.0055840253</v>
      </c>
      <c r="N40">
        <f t="shared" si="6"/>
        <v>20.264900783237771</v>
      </c>
      <c r="O40">
        <f t="shared" si="7"/>
        <v>6.0389404334048562</v>
      </c>
      <c r="P40">
        <f t="shared" si="8"/>
        <v>48.211578456827176</v>
      </c>
      <c r="Q40">
        <f t="shared" si="9"/>
        <v>14.367050380134499</v>
      </c>
      <c r="R40">
        <f t="shared" si="10"/>
        <v>20.405990813539354</v>
      </c>
      <c r="T40">
        <f t="shared" si="11"/>
        <v>1.7418558778863549</v>
      </c>
    </row>
    <row r="41" spans="1:20" x14ac:dyDescent="0.25">
      <c r="A41">
        <v>2029</v>
      </c>
      <c r="B41" s="32">
        <f>INDEX((DirN2OManSoil!$B$15:$B$43),MATCH(IndN2OManSoil!A41,DirN2OManSoil!$A$15:A$43,0))</f>
        <v>11449242.964305623</v>
      </c>
      <c r="C41" s="32">
        <f>INDEX((DirN2OManSoil!$C$15:$C$43),MATCH(IndN2OManSoil!A41,DirN2OManSoil!$A$15:A$43,0))</f>
        <v>2665224</v>
      </c>
      <c r="D41" s="32">
        <v>962068.5</v>
      </c>
      <c r="E41">
        <f t="shared" si="13"/>
        <v>21.015311372480269</v>
      </c>
      <c r="F41">
        <f t="shared" si="1"/>
        <v>6.2625627889991202</v>
      </c>
      <c r="G41">
        <f t="shared" si="2"/>
        <v>53.306321820223452</v>
      </c>
      <c r="H41">
        <f t="shared" si="12"/>
        <v>15.885283902426588</v>
      </c>
      <c r="I41">
        <f t="shared" si="3"/>
        <v>22.147846691425709</v>
      </c>
      <c r="K41" s="8">
        <f>INDEX((DirN2OManSoil!$X$15:$X$43),MATCH(A41,DirN2OManSoil!$A$15:A$43,0))</f>
        <v>8815917.0825153273</v>
      </c>
      <c r="L41" s="32">
        <f t="shared" si="4"/>
        <v>2665224</v>
      </c>
      <c r="M41" s="8">
        <f>INDEX((DirN2OManSoil!$AJ$26:$AJ$43),MATCH(A41,DirN2OManSoil!$A$26:A$43,0))+D41</f>
        <v>2020330.1969030683</v>
      </c>
      <c r="N41">
        <f t="shared" si="6"/>
        <v>20.203193177076589</v>
      </c>
      <c r="O41">
        <f t="shared" si="7"/>
        <v>6.0205515667688232</v>
      </c>
      <c r="P41">
        <f t="shared" si="8"/>
        <v>47.737344880800755</v>
      </c>
      <c r="Q41">
        <f t="shared" si="9"/>
        <v>14.225728774478624</v>
      </c>
      <c r="R41">
        <f t="shared" si="10"/>
        <v>20.246280341247449</v>
      </c>
      <c r="T41">
        <f t="shared" si="11"/>
        <v>1.9015663501782605</v>
      </c>
    </row>
    <row r="42" spans="1:20" x14ac:dyDescent="0.25">
      <c r="A42">
        <v>2030</v>
      </c>
      <c r="B42" s="32">
        <f>INDEX((DirN2OManSoil!$B$15:$B$43),MATCH(IndN2OManSoil!A42,DirN2OManSoil!$A$15:A$43,0))</f>
        <v>11449242.964305623</v>
      </c>
      <c r="C42" s="32">
        <f>INDEX((DirN2OManSoil!$C$15:$C$43),MATCH(IndN2OManSoil!A42,DirN2OManSoil!$A$15:A$43,0))</f>
        <v>2665224</v>
      </c>
      <c r="D42" s="32">
        <v>962068.5</v>
      </c>
      <c r="E42">
        <f t="shared" si="13"/>
        <v>21.015311372480269</v>
      </c>
      <c r="F42">
        <f t="shared" si="1"/>
        <v>6.2625627889991202</v>
      </c>
      <c r="G42">
        <f t="shared" si="2"/>
        <v>53.306321820223452</v>
      </c>
      <c r="H42">
        <f t="shared" si="12"/>
        <v>15.885283902426588</v>
      </c>
      <c r="I42">
        <f t="shared" si="3"/>
        <v>22.147846691425709</v>
      </c>
      <c r="K42" s="8">
        <f>INDEX((DirN2OManSoil!$X$15:$X$43),MATCH(A42,DirN2OManSoil!$A$15:A$43,0))</f>
        <v>8586932.2232292145</v>
      </c>
      <c r="L42" s="32">
        <f t="shared" si="4"/>
        <v>2665224</v>
      </c>
      <c r="M42" s="8">
        <f>INDEX((DirN2OManSoil!$AJ$26:$AJ$43),MATCH(A42,DirN2OManSoil!$A$26:A$43,0))+D42</f>
        <v>2118597.354472639</v>
      </c>
      <c r="N42">
        <f t="shared" si="6"/>
        <v>20.152199464845634</v>
      </c>
      <c r="O42">
        <f t="shared" si="7"/>
        <v>6.0053554405239984</v>
      </c>
      <c r="P42">
        <f t="shared" si="8"/>
        <v>47.275164435445831</v>
      </c>
      <c r="Q42">
        <f t="shared" si="9"/>
        <v>14.087999001762856</v>
      </c>
      <c r="R42">
        <f t="shared" si="10"/>
        <v>20.093354442286856</v>
      </c>
      <c r="T42">
        <f t="shared" si="11"/>
        <v>2.0544922491388533</v>
      </c>
    </row>
    <row r="43" spans="1:20" x14ac:dyDescent="0.25">
      <c r="A43">
        <v>2035</v>
      </c>
      <c r="B43" s="32">
        <f>INDEX((DirN2OManSoil!$B$15:$B$43),MATCH(IndN2OManSoil!A43,DirN2OManSoil!$A$15:A$43,0))</f>
        <v>11449242.964305623</v>
      </c>
      <c r="C43" s="32">
        <f>INDEX((DirN2OManSoil!$C$15:$C$43),MATCH(IndN2OManSoil!A43,DirN2OManSoil!$A$15:A$43,0))</f>
        <v>2665224</v>
      </c>
      <c r="D43" s="32">
        <v>962068.5</v>
      </c>
      <c r="E43">
        <f t="shared" si="13"/>
        <v>21.015311372480269</v>
      </c>
      <c r="F43">
        <f t="shared" si="1"/>
        <v>6.2625627889991202</v>
      </c>
      <c r="G43">
        <f t="shared" si="2"/>
        <v>53.306321820223452</v>
      </c>
      <c r="H43">
        <f t="shared" si="12"/>
        <v>15.885283902426588</v>
      </c>
      <c r="I43">
        <f t="shared" si="3"/>
        <v>22.147846691425709</v>
      </c>
      <c r="K43" s="8">
        <f>INDEX((DirN2OManSoil!$X$15:$X$43),MATCH(A43,DirN2OManSoil!$A$15:A$43,0))</f>
        <v>8014470.0750139328</v>
      </c>
      <c r="L43" s="32">
        <f t="shared" si="4"/>
        <v>2665224</v>
      </c>
      <c r="M43" s="8">
        <f>INDEX((DirN2OManSoil!$AJ$26:$AJ$43),MATCH(A43,DirN2OManSoil!$A$26:A$43,0))+D43</f>
        <v>2451786.6909984816</v>
      </c>
      <c r="N43">
        <f t="shared" si="6"/>
        <v>20.299782575302839</v>
      </c>
      <c r="O43">
        <f t="shared" si="7"/>
        <v>6.0493352074402456</v>
      </c>
      <c r="P43">
        <f t="shared" si="8"/>
        <v>46.42916413697246</v>
      </c>
      <c r="Q43">
        <f t="shared" si="9"/>
        <v>13.835890912817792</v>
      </c>
      <c r="R43">
        <f t="shared" si="10"/>
        <v>19.885226120258039</v>
      </c>
      <c r="T43">
        <f t="shared" si="11"/>
        <v>2.2626205711676697</v>
      </c>
    </row>
    <row r="44" spans="1:20" x14ac:dyDescent="0.25">
      <c r="A44">
        <v>2040</v>
      </c>
      <c r="B44" s="32">
        <f>INDEX((DirN2OManSoil!$B$15:$B$43),MATCH(IndN2OManSoil!A44,DirN2OManSoil!$A$15:A$43,0))</f>
        <v>11449242.964305623</v>
      </c>
      <c r="C44" s="32">
        <f>INDEX((DirN2OManSoil!$C$15:$C$43),MATCH(IndN2OManSoil!A44,DirN2OManSoil!$A$15:A$43,0))</f>
        <v>2665224</v>
      </c>
      <c r="D44" s="32">
        <v>962068.5</v>
      </c>
      <c r="E44">
        <f t="shared" si="13"/>
        <v>21.015311372480269</v>
      </c>
      <c r="F44">
        <f t="shared" si="1"/>
        <v>6.2625627889991202</v>
      </c>
      <c r="G44">
        <f t="shared" si="2"/>
        <v>53.306321820223452</v>
      </c>
      <c r="H44">
        <f t="shared" si="12"/>
        <v>15.885283902426588</v>
      </c>
      <c r="I44">
        <f t="shared" si="3"/>
        <v>22.147846691425709</v>
      </c>
      <c r="K44" s="8">
        <f>INDEX((DirN2OManSoil!$X$15:$X$43),MATCH(A44,DirN2OManSoil!$A$15:A$43,0))</f>
        <v>7442007.926798651</v>
      </c>
      <c r="L44" s="32">
        <f t="shared" si="4"/>
        <v>2665224</v>
      </c>
      <c r="M44" s="8">
        <f>INDEX((DirN2OManSoil!$AJ$26:$AJ$43),MATCH(A44,DirN2OManSoil!$A$26:A$43,0))+D44</f>
        <v>2841804.7935534343</v>
      </c>
      <c r="N44">
        <f t="shared" si="6"/>
        <v>20.625970378994392</v>
      </c>
      <c r="O44">
        <f t="shared" si="7"/>
        <v>6.1465391729403294</v>
      </c>
      <c r="P44">
        <f t="shared" si="8"/>
        <v>45.784094118387721</v>
      </c>
      <c r="Q44">
        <f t="shared" si="9"/>
        <v>13.643660047279539</v>
      </c>
      <c r="R44">
        <f t="shared" si="10"/>
        <v>19.790199220219868</v>
      </c>
      <c r="T44">
        <f t="shared" si="11"/>
        <v>2.3576474712058406</v>
      </c>
    </row>
    <row r="45" spans="1:20" x14ac:dyDescent="0.25">
      <c r="A45">
        <v>2045</v>
      </c>
      <c r="B45" s="32">
        <f>INDEX((DirN2OManSoil!$B$15:$B$43),MATCH(IndN2OManSoil!A45,DirN2OManSoil!$A$15:A$43,0))</f>
        <v>11449242.964305623</v>
      </c>
      <c r="C45" s="32">
        <f>INDEX((DirN2OManSoil!$C$15:$C$43),MATCH(IndN2OManSoil!A45,DirN2OManSoil!$A$15:A$43,0))</f>
        <v>2665224</v>
      </c>
      <c r="D45" s="32">
        <v>962068.5</v>
      </c>
      <c r="E45">
        <f t="shared" si="13"/>
        <v>21.015311372480269</v>
      </c>
      <c r="F45">
        <f t="shared" si="1"/>
        <v>6.2625627889991202</v>
      </c>
      <c r="G45">
        <f t="shared" si="2"/>
        <v>53.306321820223452</v>
      </c>
      <c r="H45">
        <f t="shared" si="12"/>
        <v>15.885283902426588</v>
      </c>
      <c r="I45">
        <f t="shared" si="3"/>
        <v>22.147846691425709</v>
      </c>
      <c r="K45" s="8">
        <f>INDEX((DirN2OManSoil!$X$15:$X$43),MATCH(A45,DirN2OManSoil!$A$15:A$43,0))</f>
        <v>6869545.7785833692</v>
      </c>
      <c r="L45" s="32">
        <f t="shared" si="4"/>
        <v>2665224</v>
      </c>
      <c r="M45" s="8">
        <f>INDEX((DirN2OManSoil!$AJ$26:$AJ$43),MATCH(A45,DirN2OManSoil!$A$26:A$43,0))+D45</f>
        <v>3296871.8513895008</v>
      </c>
      <c r="N45">
        <f t="shared" si="6"/>
        <v>21.156597756426585</v>
      </c>
      <c r="O45">
        <f t="shared" si="7"/>
        <v>6.3046661314151224</v>
      </c>
      <c r="P45">
        <f t="shared" si="8"/>
        <v>45.369018620261215</v>
      </c>
      <c r="Q45">
        <f t="shared" si="9"/>
        <v>13.519967548837842</v>
      </c>
      <c r="R45">
        <f t="shared" si="10"/>
        <v>19.824633680252965</v>
      </c>
      <c r="T45">
        <f t="shared" si="11"/>
        <v>2.3232130111727436</v>
      </c>
    </row>
    <row r="46" spans="1:20" x14ac:dyDescent="0.25">
      <c r="A46">
        <v>2050</v>
      </c>
      <c r="B46" s="32">
        <f>INDEX((DirN2OManSoil!$B$15:$B$43),MATCH(IndN2OManSoil!A46,DirN2OManSoil!$A$15:A$43,0))</f>
        <v>11449242.964305623</v>
      </c>
      <c r="C46" s="32">
        <f>INDEX((DirN2OManSoil!$C$15:$C$43),MATCH(IndN2OManSoil!A46,DirN2OManSoil!$A$15:A$43,0))</f>
        <v>2665224</v>
      </c>
      <c r="D46" s="32">
        <v>962068.5</v>
      </c>
      <c r="E46">
        <f t="shared" si="13"/>
        <v>21.015311372480269</v>
      </c>
      <c r="F46">
        <f t="shared" si="1"/>
        <v>6.2625627889991202</v>
      </c>
      <c r="G46">
        <f t="shared" si="2"/>
        <v>53.306321820223452</v>
      </c>
      <c r="H46">
        <f t="shared" si="12"/>
        <v>15.885283902426588</v>
      </c>
      <c r="I46">
        <f t="shared" si="3"/>
        <v>22.147846691425709</v>
      </c>
      <c r="K46" s="8">
        <f>INDEX((DirN2OManSoil!$X$15:$X$43),MATCH(A46,DirN2OManSoil!$A$15:A$43,0))</f>
        <v>6297083.6303680874</v>
      </c>
      <c r="L46" s="32">
        <f t="shared" si="4"/>
        <v>2665224</v>
      </c>
      <c r="M46" s="8">
        <f>INDEX((DirN2OManSoil!$AJ$26:$AJ$43),MATCH(A46,DirN2OManSoil!$A$26:A$43,0))+D46</f>
        <v>3826303.5661290796</v>
      </c>
      <c r="N46">
        <f t="shared" si="6"/>
        <v>21.920942626984104</v>
      </c>
      <c r="O46">
        <f t="shared" si="7"/>
        <v>6.5324409028412624</v>
      </c>
      <c r="P46">
        <f t="shared" si="8"/>
        <v>45.216875301900693</v>
      </c>
      <c r="Q46">
        <f t="shared" si="9"/>
        <v>13.474628839966407</v>
      </c>
      <c r="R46">
        <f t="shared" si="10"/>
        <v>20.007069742807669</v>
      </c>
      <c r="T46">
        <f t="shared" si="11"/>
        <v>2.1407769486180399</v>
      </c>
    </row>
  </sheetData>
  <mergeCells count="1">
    <mergeCell ref="K15:R16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L5" zoomScale="80" zoomScaleNormal="80" workbookViewId="0">
      <selection activeCell="AG32" sqref="AG32"/>
    </sheetView>
  </sheetViews>
  <sheetFormatPr defaultRowHeight="15" x14ac:dyDescent="0.25"/>
  <cols>
    <col min="2" max="3" width="10" customWidth="1"/>
    <col min="4" max="5" width="10.42578125" customWidth="1"/>
    <col min="11" max="11" width="10.85546875" customWidth="1"/>
    <col min="17" max="17" width="10.28515625" customWidth="1"/>
    <col min="20" max="20" width="10" customWidth="1"/>
  </cols>
  <sheetData>
    <row r="1" spans="1:23" x14ac:dyDescent="0.25">
      <c r="A1" s="5" t="s">
        <v>260</v>
      </c>
      <c r="B1" s="5"/>
      <c r="C1" s="5"/>
      <c r="D1" s="5"/>
      <c r="E1" s="5"/>
      <c r="F1" s="5"/>
      <c r="G1" s="5"/>
      <c r="H1" s="5"/>
      <c r="I1" s="5"/>
    </row>
    <row r="2" spans="1:23" x14ac:dyDescent="0.25">
      <c r="K2" s="192" t="s">
        <v>298</v>
      </c>
      <c r="L2" s="192"/>
      <c r="M2" s="192"/>
      <c r="N2" s="192"/>
      <c r="O2" s="192"/>
      <c r="P2" s="192"/>
      <c r="Q2" s="192"/>
      <c r="S2" s="192" t="s">
        <v>300</v>
      </c>
      <c r="T2" s="192"/>
      <c r="V2" s="141" t="s">
        <v>302</v>
      </c>
      <c r="W2" t="s">
        <v>302</v>
      </c>
    </row>
    <row r="3" spans="1:23" x14ac:dyDescent="0.25">
      <c r="A3" s="125"/>
      <c r="B3" s="194" t="s">
        <v>261</v>
      </c>
      <c r="C3" s="194"/>
      <c r="D3" s="194"/>
      <c r="E3" s="194"/>
      <c r="G3" s="195" t="s">
        <v>270</v>
      </c>
      <c r="H3" s="195"/>
      <c r="I3" s="195"/>
      <c r="K3" s="196" t="s">
        <v>271</v>
      </c>
      <c r="L3" s="196"/>
      <c r="M3" s="196"/>
      <c r="N3" s="196"/>
      <c r="P3" s="197" t="s">
        <v>286</v>
      </c>
      <c r="Q3" s="197"/>
      <c r="S3" s="192" t="s">
        <v>286</v>
      </c>
      <c r="T3" s="192"/>
      <c r="V3" s="141" t="s">
        <v>303</v>
      </c>
      <c r="W3" t="s">
        <v>305</v>
      </c>
    </row>
    <row r="4" spans="1:23" ht="45" x14ac:dyDescent="0.25">
      <c r="A4" s="126" t="s">
        <v>36</v>
      </c>
      <c r="B4" s="126" t="s">
        <v>262</v>
      </c>
      <c r="C4" s="127" t="s">
        <v>263</v>
      </c>
      <c r="D4" s="127" t="s">
        <v>264</v>
      </c>
      <c r="E4" s="126" t="s">
        <v>391</v>
      </c>
      <c r="F4" s="182" t="s">
        <v>392</v>
      </c>
      <c r="G4" s="123" t="s">
        <v>262</v>
      </c>
      <c r="H4" s="123" t="s">
        <v>265</v>
      </c>
      <c r="I4" s="124" t="s">
        <v>266</v>
      </c>
      <c r="K4" s="131" t="s">
        <v>272</v>
      </c>
      <c r="L4" s="132" t="s">
        <v>273</v>
      </c>
      <c r="M4" s="132" t="s">
        <v>265</v>
      </c>
      <c r="N4" s="131" t="s">
        <v>266</v>
      </c>
      <c r="P4" s="137" t="s">
        <v>265</v>
      </c>
      <c r="Q4" s="138" t="s">
        <v>287</v>
      </c>
      <c r="S4" s="34" t="s">
        <v>265</v>
      </c>
      <c r="T4" s="140" t="s">
        <v>301</v>
      </c>
      <c r="V4" s="142"/>
    </row>
    <row r="5" spans="1:23" x14ac:dyDescent="0.25">
      <c r="A5" s="128">
        <v>2006</v>
      </c>
      <c r="B5" s="125">
        <f>INDEX((CropBurn!$E$17:$E$45),MATCH(A5,CropBurn!$A$17:A$45,0))</f>
        <v>3.1063500000000004</v>
      </c>
      <c r="C5" s="125">
        <f>INDEX((DirN2OManSoil!$U$15:$U$43),MATCH(A5,DirN2OManSoil!$A$15:A$43,0))</f>
        <v>66.624239904831711</v>
      </c>
      <c r="D5" s="125">
        <f>INDEX((IndN2OManSoil!$I$18:$I$46),MATCH(A5,IndN2OManSoil!$A$18:A$46,0))</f>
        <v>16.863500953750002</v>
      </c>
      <c r="E5" s="125">
        <f>SUM(B5:D5)</f>
        <v>86.594090858581723</v>
      </c>
      <c r="F5" s="100">
        <f>INDEX((DirN2OManSoilPol!$U$15:$U$43),MATCH(A5,DirN2OManSoilPol!$A$15:A$43,0))</f>
        <v>66.624239904831711</v>
      </c>
      <c r="G5" s="122">
        <f>INDEX((CropBurn!$I$17:$I$45),MATCH(A5,CropBurn!$A$17:A$45,0))</f>
        <v>3.1063500000000004</v>
      </c>
      <c r="H5" s="122">
        <f>B5-G5</f>
        <v>0</v>
      </c>
      <c r="I5" s="122">
        <f>E5-H5</f>
        <v>86.594090858581723</v>
      </c>
      <c r="K5" s="133">
        <f>INDEX((DirN2OManSoil!$H$15:$H$43),MATCH(A5,DirN2OManSoil!$A$15:A$43,0))</f>
        <v>35.24420840285714</v>
      </c>
      <c r="L5" s="133">
        <f>INDEX((DirN2OManSoil!$Z$15:$Z$43),MATCH(A5,DirN2OManSoil!$A$15:A$43,0))</f>
        <v>35.24420840285714</v>
      </c>
      <c r="M5" s="133">
        <f>K5-L5</f>
        <v>0</v>
      </c>
      <c r="N5" s="133">
        <f>B5+F5+D5-M5</f>
        <v>86.594090858581723</v>
      </c>
      <c r="P5" s="136"/>
      <c r="Q5" s="136">
        <f t="shared" ref="Q5:Q33" si="0">N5+P5</f>
        <v>86.594090858581723</v>
      </c>
      <c r="S5" s="121">
        <f>INDEX((IndN2OManSoil!$T$18:$T$46),MATCH(A5,IndN2OManSoil!$A$18:A$46,0))</f>
        <v>0</v>
      </c>
      <c r="T5">
        <f>Q5-S5</f>
        <v>86.594090858581723</v>
      </c>
      <c r="V5" s="142">
        <f>T5-H5</f>
        <v>86.594090858581723</v>
      </c>
      <c r="W5">
        <f>E5-V5</f>
        <v>0</v>
      </c>
    </row>
    <row r="6" spans="1:23" x14ac:dyDescent="0.25">
      <c r="A6" s="129">
        <v>2007</v>
      </c>
      <c r="B6" s="125">
        <f>INDEX((CropBurn!$E$17:$E$45),MATCH(A6,CropBurn!$A$17:A$45,0))</f>
        <v>3.0063149999999998</v>
      </c>
      <c r="C6" s="125">
        <f>INDEX((DirN2OManSoil!$U$15:$U$43),MATCH(A6,DirN2OManSoil!$A$15:A$43,0))</f>
        <v>64.980979190401996</v>
      </c>
      <c r="D6" s="125">
        <f>INDEX((IndN2OManSoil!$I$18:$I$46),MATCH(A6,IndN2OManSoil!$A$18:A$46,0))</f>
        <v>16.356436265321427</v>
      </c>
      <c r="E6" s="125">
        <f t="shared" ref="E6:E33" si="1">SUM(B6:D6)</f>
        <v>84.343730455723431</v>
      </c>
      <c r="F6" s="100">
        <f>INDEX((DirN2OManSoilPol!$U$15:$U$43),MATCH(A6,DirN2OManSoilPol!$A$15:A$43,0))</f>
        <v>64.980979190401996</v>
      </c>
      <c r="G6" s="122">
        <f>INDEX((CropBurn!$I$17:$I$45),MATCH(A6,CropBurn!$A$17:A$45,0))</f>
        <v>3.0063149999999998</v>
      </c>
      <c r="H6" s="122">
        <f t="shared" ref="H6:H28" si="2">B6-G6</f>
        <v>0</v>
      </c>
      <c r="I6" s="122">
        <f t="shared" ref="I6:I28" si="3">E6-H6</f>
        <v>84.343730455723431</v>
      </c>
      <c r="K6" s="133">
        <f>INDEX((DirN2OManSoil!$H$15:$H$43),MATCH(A6,DirN2OManSoil!$A$15:A$43,0))</f>
        <v>34.033750708571432</v>
      </c>
      <c r="L6" s="133">
        <f>INDEX((DirN2OManSoil!$Z$15:$Z$43),MATCH(A6,DirN2OManSoil!$A$15:A$43,0))</f>
        <v>34.033750708571432</v>
      </c>
      <c r="M6" s="133">
        <f t="shared" ref="M6:M33" si="4">K6-L6</f>
        <v>0</v>
      </c>
      <c r="N6" s="133">
        <f t="shared" ref="N6:N33" si="5">B6+F6+D6-M6</f>
        <v>84.343730455723431</v>
      </c>
      <c r="P6" s="136"/>
      <c r="Q6" s="136">
        <f t="shared" si="0"/>
        <v>84.343730455723431</v>
      </c>
      <c r="S6" s="146">
        <f>INDEX((IndN2OManSoil!$T$18:$T$46),MATCH(A6,IndN2OManSoil!$A$18:A$46,0))</f>
        <v>0</v>
      </c>
      <c r="T6">
        <f t="shared" ref="T6:T33" si="6">Q6-S6</f>
        <v>84.343730455723431</v>
      </c>
      <c r="V6" s="142">
        <f t="shared" ref="V6:V33" si="7">T6-H6</f>
        <v>84.343730455723431</v>
      </c>
      <c r="W6">
        <f t="shared" ref="W6:W33" si="8">E6-V6</f>
        <v>0</v>
      </c>
    </row>
    <row r="7" spans="1:23" x14ac:dyDescent="0.25">
      <c r="A7" s="128">
        <v>2008</v>
      </c>
      <c r="B7" s="125">
        <f>INDEX((CropBurn!$E$17:$E$45),MATCH(A7,CropBurn!$A$17:A$45,0))</f>
        <v>2.8711800000000003</v>
      </c>
      <c r="C7" s="125">
        <f>INDEX((DirN2OManSoil!$U$15:$U$43),MATCH(A7,DirN2OManSoil!$A$15:A$43,0))</f>
        <v>61.625914133435131</v>
      </c>
      <c r="D7" s="125">
        <f>INDEX((IndN2OManSoil!$I$18:$I$46),MATCH(A7,IndN2OManSoil!$A$18:A$46,0))</f>
        <v>15.503446461249997</v>
      </c>
      <c r="E7" s="125">
        <f t="shared" si="1"/>
        <v>80.00054059468512</v>
      </c>
      <c r="F7" s="100">
        <f>INDEX((DirN2OManSoilPol!$U$15:$U$43),MATCH(A7,DirN2OManSoilPol!$A$15:A$43,0))</f>
        <v>61.625914133435131</v>
      </c>
      <c r="G7" s="122">
        <f>INDEX((CropBurn!$I$17:$I$45),MATCH(A7,CropBurn!$A$17:A$45,0))</f>
        <v>2.8711800000000003</v>
      </c>
      <c r="H7" s="122">
        <f t="shared" si="2"/>
        <v>0</v>
      </c>
      <c r="I7" s="122">
        <f t="shared" si="3"/>
        <v>80.00054059468512</v>
      </c>
      <c r="K7" s="133">
        <f>INDEX((DirN2OManSoil!$H$15:$H$43),MATCH(A7,DirN2OManSoil!$A$15:A$43,0))</f>
        <v>31.876864171428569</v>
      </c>
      <c r="L7" s="133">
        <f>INDEX((DirN2OManSoil!$Z$15:$Z$43),MATCH(A7,DirN2OManSoil!$A$15:A$43,0))</f>
        <v>31.876864171428569</v>
      </c>
      <c r="M7" s="133">
        <f t="shared" si="4"/>
        <v>0</v>
      </c>
      <c r="N7" s="133">
        <f t="shared" si="5"/>
        <v>80.00054059468512</v>
      </c>
      <c r="P7" s="136"/>
      <c r="Q7" s="136">
        <f t="shared" si="0"/>
        <v>80.00054059468512</v>
      </c>
      <c r="S7" s="146">
        <f>INDEX((IndN2OManSoil!$T$18:$T$46),MATCH(A7,IndN2OManSoil!$A$18:A$46,0))</f>
        <v>0</v>
      </c>
      <c r="T7">
        <f t="shared" si="6"/>
        <v>80.00054059468512</v>
      </c>
      <c r="V7" s="142">
        <f t="shared" si="7"/>
        <v>80.00054059468512</v>
      </c>
      <c r="W7">
        <f t="shared" si="8"/>
        <v>0</v>
      </c>
    </row>
    <row r="8" spans="1:23" x14ac:dyDescent="0.25">
      <c r="A8" s="129">
        <v>2009</v>
      </c>
      <c r="B8" s="125">
        <f>INDEX((CropBurn!$E$17:$E$45),MATCH(A8,CropBurn!$A$17:A$45,0))</f>
        <v>2.8891687500000001</v>
      </c>
      <c r="C8" s="125">
        <f>INDEX((DirN2OManSoil!$U$15:$U$43),MATCH(A8,DirN2OManSoil!$A$15:A$43,0))</f>
        <v>60.03708355339576</v>
      </c>
      <c r="D8" s="125">
        <f>INDEX((IndN2OManSoil!$I$18:$I$46),MATCH(A8,IndN2OManSoil!$A$18:A$46,0))</f>
        <v>15.159299894749999</v>
      </c>
      <c r="E8" s="125">
        <f t="shared" si="1"/>
        <v>78.085552198145763</v>
      </c>
      <c r="F8" s="100">
        <f>INDEX((DirN2OManSoilPol!$U$15:$U$43),MATCH(A8,DirN2OManSoilPol!$A$15:A$43,0))</f>
        <v>60.03708355339576</v>
      </c>
      <c r="G8" s="122">
        <f>INDEX((CropBurn!$I$17:$I$45),MATCH(A8,CropBurn!$A$17:A$45,0))</f>
        <v>2.8891687500000001</v>
      </c>
      <c r="H8" s="122">
        <f t="shared" si="2"/>
        <v>0</v>
      </c>
      <c r="I8" s="122">
        <f t="shared" si="3"/>
        <v>78.085552198145763</v>
      </c>
      <c r="K8" s="133">
        <f>INDEX((DirN2OManSoil!$H$15:$H$43),MATCH(A8,DirN2OManSoil!$A$15:A$43,0))</f>
        <v>30.983918239999994</v>
      </c>
      <c r="L8" s="133">
        <f>INDEX((DirN2OManSoil!$Z$15:$Z$43),MATCH(A8,DirN2OManSoil!$A$15:A$43,0))</f>
        <v>30.983918239999994</v>
      </c>
      <c r="M8" s="133">
        <f t="shared" si="4"/>
        <v>0</v>
      </c>
      <c r="N8" s="133">
        <f t="shared" si="5"/>
        <v>78.085552198145763</v>
      </c>
      <c r="P8" s="136"/>
      <c r="Q8" s="136">
        <f t="shared" si="0"/>
        <v>78.085552198145763</v>
      </c>
      <c r="S8" s="146">
        <f>INDEX((IndN2OManSoil!$T$18:$T$46),MATCH(A8,IndN2OManSoil!$A$18:A$46,0))</f>
        <v>0</v>
      </c>
      <c r="T8">
        <f t="shared" si="6"/>
        <v>78.085552198145763</v>
      </c>
      <c r="V8" s="142">
        <f t="shared" si="7"/>
        <v>78.085552198145763</v>
      </c>
      <c r="W8">
        <f t="shared" si="8"/>
        <v>0</v>
      </c>
    </row>
    <row r="9" spans="1:23" x14ac:dyDescent="0.25">
      <c r="A9" s="128">
        <v>2010</v>
      </c>
      <c r="B9" s="125">
        <f>INDEX((CropBurn!$E$17:$E$45),MATCH(A9,CropBurn!$A$17:A$45,0))</f>
        <v>2.8137037500000002</v>
      </c>
      <c r="C9" s="125">
        <f>INDEX((DirN2OManSoil!$U$15:$U$43),MATCH(A9,DirN2OManSoil!$A$15:A$43,0))</f>
        <v>67.528826818306854</v>
      </c>
      <c r="D9" s="125">
        <f>INDEX((IndN2OManSoil!$I$18:$I$46),MATCH(A9,IndN2OManSoil!$A$18:A$46,0))</f>
        <v>16.454812557464283</v>
      </c>
      <c r="E9" s="125">
        <f t="shared" si="1"/>
        <v>86.797343125771135</v>
      </c>
      <c r="F9" s="100">
        <f>INDEX((DirN2OManSoilPol!$U$15:$U$43),MATCH(A9,DirN2OManSoilPol!$A$15:A$43,0))</f>
        <v>67.528826818306854</v>
      </c>
      <c r="G9" s="122">
        <f>INDEX((CropBurn!$I$17:$I$45),MATCH(A9,CropBurn!$A$17:A$45,0))</f>
        <v>2.8137037500000002</v>
      </c>
      <c r="H9" s="122">
        <f t="shared" si="2"/>
        <v>0</v>
      </c>
      <c r="I9" s="122">
        <f t="shared" si="3"/>
        <v>86.797343125771135</v>
      </c>
      <c r="K9" s="133">
        <f>INDEX((DirN2OManSoil!$H$15:$H$43),MATCH(A9,DirN2OManSoil!$A$15:A$43,0))</f>
        <v>34.973028828571429</v>
      </c>
      <c r="L9" s="133">
        <f>INDEX((DirN2OManSoil!$Z$15:$Z$43),MATCH(A9,DirN2OManSoil!$A$15:A$43,0))</f>
        <v>34.973028828571429</v>
      </c>
      <c r="M9" s="133">
        <f t="shared" si="4"/>
        <v>0</v>
      </c>
      <c r="N9" s="133">
        <f t="shared" si="5"/>
        <v>86.797343125771135</v>
      </c>
      <c r="P9" s="136"/>
      <c r="Q9" s="136">
        <f t="shared" si="0"/>
        <v>86.797343125771135</v>
      </c>
      <c r="S9" s="146">
        <f>INDEX((IndN2OManSoil!$T$18:$T$46),MATCH(A9,IndN2OManSoil!$A$18:A$46,0))</f>
        <v>0</v>
      </c>
      <c r="T9">
        <f t="shared" si="6"/>
        <v>86.797343125771135</v>
      </c>
      <c r="V9" s="142">
        <f t="shared" si="7"/>
        <v>86.797343125771135</v>
      </c>
      <c r="W9">
        <f t="shared" si="8"/>
        <v>0</v>
      </c>
    </row>
    <row r="10" spans="1:23" x14ac:dyDescent="0.25">
      <c r="A10" s="129">
        <v>2011</v>
      </c>
      <c r="B10" s="125">
        <f>INDEX((CropBurn!$E$17:$E$45),MATCH(A10,CropBurn!$A$17:A$45,0))</f>
        <v>2.70840375</v>
      </c>
      <c r="C10" s="125">
        <f>INDEX((DirN2OManSoil!$U$15:$U$43),MATCH(A10,DirN2OManSoil!$A$15:A$43,0))</f>
        <v>68.873209675375293</v>
      </c>
      <c r="D10" s="125">
        <f>INDEX((IndN2OManSoil!$I$18:$I$46),MATCH(A10,IndN2OManSoil!$A$18:A$46,0))</f>
        <v>16.895413454464286</v>
      </c>
      <c r="E10" s="125">
        <f t="shared" si="1"/>
        <v>88.477026879839585</v>
      </c>
      <c r="F10" s="100">
        <f>INDEX((DirN2OManSoilPol!$U$15:$U$43),MATCH(A10,DirN2OManSoilPol!$A$15:A$43,0))</f>
        <v>68.873209675375293</v>
      </c>
      <c r="G10" s="122">
        <f>INDEX((CropBurn!$I$17:$I$45),MATCH(A10,CropBurn!$A$17:A$45,0))</f>
        <v>2.70840375</v>
      </c>
      <c r="H10" s="122">
        <f t="shared" si="2"/>
        <v>0</v>
      </c>
      <c r="I10" s="122">
        <f t="shared" si="3"/>
        <v>88.477026879839585</v>
      </c>
      <c r="K10" s="133">
        <f>INDEX((DirN2OManSoil!$H$15:$H$43),MATCH(A10,DirN2OManSoil!$A$15:A$43,0))</f>
        <v>36.686158457142859</v>
      </c>
      <c r="L10" s="133">
        <f>INDEX((DirN2OManSoil!$Z$15:$Z$43),MATCH(A10,DirN2OManSoil!$A$15:A$43,0))</f>
        <v>36.686158457142859</v>
      </c>
      <c r="M10" s="133">
        <f t="shared" si="4"/>
        <v>0</v>
      </c>
      <c r="N10" s="133">
        <f t="shared" si="5"/>
        <v>88.477026879839585</v>
      </c>
      <c r="P10" s="136"/>
      <c r="Q10" s="136">
        <f t="shared" si="0"/>
        <v>88.477026879839585</v>
      </c>
      <c r="S10" s="146">
        <f>INDEX((IndN2OManSoil!$T$18:$T$46),MATCH(A10,IndN2OManSoil!$A$18:A$46,0))</f>
        <v>0</v>
      </c>
      <c r="T10">
        <f t="shared" si="6"/>
        <v>88.477026879839585</v>
      </c>
      <c r="V10" s="142">
        <f t="shared" si="7"/>
        <v>88.477026879839585</v>
      </c>
      <c r="W10">
        <f t="shared" si="8"/>
        <v>0</v>
      </c>
    </row>
    <row r="11" spans="1:23" x14ac:dyDescent="0.25">
      <c r="A11" s="128">
        <v>2012</v>
      </c>
      <c r="B11" s="125">
        <f>INDEX((CropBurn!$E$17:$E$45),MATCH(A11,CropBurn!$A$17:A$45,0))</f>
        <v>2.507895</v>
      </c>
      <c r="C11" s="125">
        <f>INDEX((DirN2OManSoil!$U$15:$U$43),MATCH(A11,DirN2OManSoil!$A$15:A$43,0))</f>
        <v>76.453395258955013</v>
      </c>
      <c r="D11" s="125">
        <f>INDEX((IndN2OManSoil!$I$18:$I$46),MATCH(A11,IndN2OManSoil!$A$18:A$46,0))</f>
        <v>19.51959621817857</v>
      </c>
      <c r="E11" s="125">
        <f t="shared" si="1"/>
        <v>98.480886477133595</v>
      </c>
      <c r="F11" s="100">
        <f>INDEX((DirN2OManSoilPol!$U$15:$U$43),MATCH(A11,DirN2OManSoilPol!$A$15:A$43,0))</f>
        <v>76.453395258955013</v>
      </c>
      <c r="G11" s="122">
        <f>INDEX((CropBurn!$I$17:$I$45),MATCH(A11,CropBurn!$A$17:A$45,0))</f>
        <v>2.507895</v>
      </c>
      <c r="H11" s="122">
        <f t="shared" si="2"/>
        <v>0</v>
      </c>
      <c r="I11" s="122">
        <f t="shared" si="3"/>
        <v>98.480886477133595</v>
      </c>
      <c r="K11" s="133">
        <f>INDEX((DirN2OManSoil!$H$15:$H$43),MATCH(A11,DirN2OManSoil!$A$15:A$43,0))</f>
        <v>45.423733017142865</v>
      </c>
      <c r="L11" s="133">
        <f>INDEX((DirN2OManSoil!$Z$15:$Z$43),MATCH(A11,DirN2OManSoil!$A$15:A$43,0))</f>
        <v>45.423733017142865</v>
      </c>
      <c r="M11" s="133">
        <f t="shared" si="4"/>
        <v>0</v>
      </c>
      <c r="N11" s="133">
        <f t="shared" si="5"/>
        <v>98.480886477133595</v>
      </c>
      <c r="P11" s="136"/>
      <c r="Q11" s="136">
        <f t="shared" si="0"/>
        <v>98.480886477133595</v>
      </c>
      <c r="S11" s="146">
        <f>INDEX((IndN2OManSoil!$T$18:$T$46),MATCH(A11,IndN2OManSoil!$A$18:A$46,0))</f>
        <v>0</v>
      </c>
      <c r="T11">
        <f t="shared" si="6"/>
        <v>98.480886477133595</v>
      </c>
      <c r="V11" s="142">
        <f t="shared" si="7"/>
        <v>98.480886477133595</v>
      </c>
      <c r="W11">
        <f t="shared" si="8"/>
        <v>0</v>
      </c>
    </row>
    <row r="12" spans="1:23" x14ac:dyDescent="0.25">
      <c r="A12" s="129">
        <v>2013</v>
      </c>
      <c r="B12" s="125">
        <f>INDEX((CropBurn!$E$17:$E$45),MATCH(A12,CropBurn!$A$17:A$45,0))</f>
        <v>2.4773580000000006</v>
      </c>
      <c r="C12" s="125">
        <f>INDEX((DirN2OManSoil!$U$15:$U$43),MATCH(A12,DirN2OManSoil!$A$15:A$43,0))</f>
        <v>77.278048889580006</v>
      </c>
      <c r="D12" s="125">
        <f>INDEX((IndN2OManSoil!$I$18:$I$46),MATCH(A12,IndN2OManSoil!$A$18:A$46,0))</f>
        <v>19.892366866035712</v>
      </c>
      <c r="E12" s="125">
        <f t="shared" si="1"/>
        <v>99.647773755615717</v>
      </c>
      <c r="F12" s="100">
        <f>INDEX((DirN2OManSoilPol!$U$15:$U$43),MATCH(A12,DirN2OManSoilPol!$A$15:A$43,0))</f>
        <v>77.278048889580006</v>
      </c>
      <c r="G12" s="122">
        <f>INDEX((CropBurn!$I$17:$I$45),MATCH(A12,CropBurn!$A$17:A$45,0))</f>
        <v>2.4773580000000006</v>
      </c>
      <c r="H12" s="122">
        <f t="shared" si="2"/>
        <v>0</v>
      </c>
      <c r="I12" s="122">
        <f t="shared" si="3"/>
        <v>99.647773755615717</v>
      </c>
      <c r="K12" s="133">
        <f>INDEX((DirN2OManSoil!$H$15:$H$43),MATCH(A12,DirN2OManSoil!$A$15:A$43,0))</f>
        <v>46.675231271428572</v>
      </c>
      <c r="L12" s="133">
        <f>INDEX((DirN2OManSoil!$Z$15:$Z$43),MATCH(A12,DirN2OManSoil!$A$15:A$43,0))</f>
        <v>46.675231271428572</v>
      </c>
      <c r="M12" s="133">
        <f t="shared" si="4"/>
        <v>0</v>
      </c>
      <c r="N12" s="133">
        <f t="shared" si="5"/>
        <v>99.647773755615717</v>
      </c>
      <c r="P12" s="136"/>
      <c r="Q12" s="136">
        <f t="shared" si="0"/>
        <v>99.647773755615717</v>
      </c>
      <c r="S12" s="146">
        <f>INDEX((IndN2OManSoil!$T$18:$T$46),MATCH(A12,IndN2OManSoil!$A$18:A$46,0))</f>
        <v>0</v>
      </c>
      <c r="T12">
        <f t="shared" si="6"/>
        <v>99.647773755615717</v>
      </c>
      <c r="V12" s="142">
        <f t="shared" si="7"/>
        <v>99.647773755615717</v>
      </c>
      <c r="W12">
        <f t="shared" si="8"/>
        <v>0</v>
      </c>
    </row>
    <row r="13" spans="1:23" x14ac:dyDescent="0.25">
      <c r="A13" s="128">
        <v>2014</v>
      </c>
      <c r="B13" s="125">
        <f>INDEX((CropBurn!$E$17:$E$45),MATCH(A13,CropBurn!$A$17:A$45,0))</f>
        <v>2.2241992500000007</v>
      </c>
      <c r="C13" s="125">
        <f>INDEX((DirN2OManSoil!$U$15:$U$43),MATCH(A13,DirN2OManSoil!$A$15:A$43,0))</f>
        <v>78.495163087546899</v>
      </c>
      <c r="D13" s="125">
        <f>INDEX((IndN2OManSoil!$I$18:$I$46),MATCH(A13,IndN2OManSoil!$A$18:A$46,0))</f>
        <v>20.195755869300001</v>
      </c>
      <c r="E13" s="125">
        <f t="shared" si="1"/>
        <v>100.9151182068469</v>
      </c>
      <c r="F13" s="100">
        <f>INDEX((DirN2OManSoilPol!$U$15:$U$43),MATCH(A13,DirN2OManSoilPol!$A$15:A$43,0))</f>
        <v>78.495163087546899</v>
      </c>
      <c r="G13" s="122">
        <f>INDEX((CropBurn!$I$17:$I$45),MATCH(A13,CropBurn!$A$17:A$45,0))</f>
        <v>2.2241992500000007</v>
      </c>
      <c r="H13" s="122">
        <f t="shared" si="2"/>
        <v>0</v>
      </c>
      <c r="I13" s="122">
        <f t="shared" si="3"/>
        <v>100.9151182068469</v>
      </c>
      <c r="K13" s="133">
        <f>INDEX((DirN2OManSoil!$H$15:$H$43),MATCH(A13,DirN2OManSoil!$A$15:A$43,0))</f>
        <v>47.608735896857141</v>
      </c>
      <c r="L13" s="133">
        <f>INDEX((DirN2OManSoil!$Z$15:$Z$43),MATCH(A13,DirN2OManSoil!$A$15:A$43,0))</f>
        <v>47.608735896857141</v>
      </c>
      <c r="M13" s="133">
        <f t="shared" si="4"/>
        <v>0</v>
      </c>
      <c r="N13" s="133">
        <f t="shared" si="5"/>
        <v>100.9151182068469</v>
      </c>
      <c r="P13" s="136"/>
      <c r="Q13" s="136">
        <f t="shared" si="0"/>
        <v>100.9151182068469</v>
      </c>
      <c r="S13" s="146">
        <f>INDEX((IndN2OManSoil!$T$18:$T$46),MATCH(A13,IndN2OManSoil!$A$18:A$46,0))</f>
        <v>0</v>
      </c>
      <c r="T13">
        <f t="shared" si="6"/>
        <v>100.9151182068469</v>
      </c>
      <c r="V13" s="142">
        <f t="shared" si="7"/>
        <v>100.9151182068469</v>
      </c>
      <c r="W13">
        <f t="shared" si="8"/>
        <v>0</v>
      </c>
    </row>
    <row r="14" spans="1:23" x14ac:dyDescent="0.25">
      <c r="A14" s="129">
        <v>2015</v>
      </c>
      <c r="B14" s="125">
        <f>INDEX((CropBurn!$E$17:$E$45),MATCH(A14,CropBurn!$A$17:A$45,0))</f>
        <v>2.2984796250000006</v>
      </c>
      <c r="C14" s="125">
        <f>INDEX((DirN2OManSoil!$U$15:$U$43),MATCH(A14,DirN2OManSoil!$A$15:A$43,0))</f>
        <v>79.730947378022378</v>
      </c>
      <c r="D14" s="125">
        <f>INDEX((IndN2OManSoil!$I$18:$I$46),MATCH(A14,IndN2OManSoil!$A$18:A$46,0))</f>
        <v>20.50521265262957</v>
      </c>
      <c r="E14" s="125">
        <f t="shared" si="1"/>
        <v>102.53463965565194</v>
      </c>
      <c r="F14" s="100">
        <f>INDEX((DirN2OManSoilPol!$U$15:$U$43),MATCH(A14,DirN2OManSoilPol!$A$15:A$43,0))</f>
        <v>79.730947378022378</v>
      </c>
      <c r="G14" s="122">
        <f>INDEX((CropBurn!$I$17:$I$45),MATCH(A14,CropBurn!$A$17:A$45,0))</f>
        <v>2.2984796250000006</v>
      </c>
      <c r="H14" s="122">
        <f t="shared" si="2"/>
        <v>0</v>
      </c>
      <c r="I14" s="122">
        <f t="shared" si="3"/>
        <v>102.53463965565194</v>
      </c>
      <c r="K14" s="133">
        <f>INDEX((DirN2OManSoil!$H$15:$H$43),MATCH(A14,DirN2OManSoil!$A$15:A$43,0))</f>
        <v>48.560910614794281</v>
      </c>
      <c r="L14" s="133">
        <f>INDEX((DirN2OManSoil!$Z$15:$Z$43),MATCH(A14,DirN2OManSoil!$A$15:A$43,0))</f>
        <v>48.560910614794281</v>
      </c>
      <c r="M14" s="133">
        <f t="shared" si="4"/>
        <v>0</v>
      </c>
      <c r="N14" s="133">
        <f t="shared" si="5"/>
        <v>102.53463965565194</v>
      </c>
      <c r="P14" s="136"/>
      <c r="Q14" s="136">
        <f t="shared" si="0"/>
        <v>102.53463965565194</v>
      </c>
      <c r="S14" s="146">
        <f>INDEX((IndN2OManSoil!$T$18:$T$46),MATCH(A14,IndN2OManSoil!$A$18:A$46,0))</f>
        <v>0</v>
      </c>
      <c r="T14">
        <f t="shared" si="6"/>
        <v>102.53463965565194</v>
      </c>
      <c r="V14" s="142">
        <f t="shared" si="7"/>
        <v>102.53463965565194</v>
      </c>
      <c r="W14">
        <f t="shared" si="8"/>
        <v>0</v>
      </c>
    </row>
    <row r="15" spans="1:23" x14ac:dyDescent="0.25">
      <c r="A15" s="128">
        <v>2016</v>
      </c>
      <c r="B15" s="125">
        <f>INDEX((CropBurn!$E$17:$E$45),MATCH(A15,CropBurn!$A$17:A$45,0))</f>
        <v>2.2814999999999999</v>
      </c>
      <c r="C15" s="125">
        <f>INDEX((DirN2OManSoil!$U$15:$U$43),MATCH(A15,DirN2OManSoil!$A$15:A$43,0))</f>
        <v>80.753453344103264</v>
      </c>
      <c r="D15" s="125">
        <f>INDEX((IndN2OManSoil!$I$18:$I$46),MATCH(A15,IndN2OManSoil!$A$18:A$46,0))</f>
        <v>20.820858571625735</v>
      </c>
      <c r="E15" s="125">
        <f t="shared" si="1"/>
        <v>103.85581191572899</v>
      </c>
      <c r="F15" s="100">
        <f>INDEX((DirN2OManSoilPol!$U$15:$U$43),MATCH(A15,DirN2OManSoilPol!$A$15:A$43,0))</f>
        <v>80.852540377520967</v>
      </c>
      <c r="G15" s="122">
        <f>INDEX((CropBurn!$I$17:$I$45),MATCH(A15,CropBurn!$A$17:A$45,0))</f>
        <v>2.2814999999999999</v>
      </c>
      <c r="H15" s="122">
        <f t="shared" si="2"/>
        <v>0</v>
      </c>
      <c r="I15" s="122">
        <f t="shared" si="3"/>
        <v>103.85581191572899</v>
      </c>
      <c r="K15" s="133">
        <f>INDEX((DirN2OManSoil!$H$15:$H$43),MATCH(A15,DirN2OManSoil!$A$15:A$43,0))</f>
        <v>49.532128827090162</v>
      </c>
      <c r="L15" s="133">
        <f>INDEX((DirN2OManSoil!$Z$15:$Z$43),MATCH(A15,DirN2OManSoil!$A$15:A$43,0))</f>
        <v>49.036807538819268</v>
      </c>
      <c r="M15" s="133">
        <f t="shared" si="4"/>
        <v>0.49532128827089394</v>
      </c>
      <c r="N15" s="133">
        <f t="shared" si="5"/>
        <v>103.45957766087579</v>
      </c>
      <c r="P15" s="136"/>
      <c r="Q15" s="136">
        <f t="shared" si="0"/>
        <v>103.45957766087579</v>
      </c>
      <c r="S15" s="146">
        <f>INDEX((IndN2OManSoil!$T$18:$T$46),MATCH(A15,IndN2OManSoil!$A$18:A$46,0))</f>
        <v>0.1609794186880471</v>
      </c>
      <c r="T15">
        <f t="shared" si="6"/>
        <v>103.29859824218775</v>
      </c>
      <c r="V15" s="142">
        <f t="shared" si="7"/>
        <v>103.29859824218775</v>
      </c>
      <c r="W15">
        <f t="shared" si="8"/>
        <v>0.55721367354124141</v>
      </c>
    </row>
    <row r="16" spans="1:23" x14ac:dyDescent="0.25">
      <c r="A16" s="116">
        <v>2017</v>
      </c>
      <c r="B16" s="125">
        <f>INDEX((CropBurn!$E$17:$E$45),MATCH(A16,CropBurn!$A$17:A$45,0))</f>
        <v>2.237625</v>
      </c>
      <c r="C16" s="125">
        <f>INDEX((DirN2OManSoil!$U$15:$U$43),MATCH(A16,DirN2OManSoil!$A$15:A$43,0))</f>
        <v>81.795383674430099</v>
      </c>
      <c r="D16" s="125">
        <f>INDEX((IndN2OManSoil!$I$18:$I$46),MATCH(A16,IndN2OManSoil!$A$18:A$46,0))</f>
        <v>21.142817409001818</v>
      </c>
      <c r="E16">
        <f t="shared" si="1"/>
        <v>105.17582608343191</v>
      </c>
      <c r="F16" s="100">
        <f>INDEX((DirN2OManSoilPol!$U$15:$U$43),MATCH(A16,DirN2OManSoilPol!$A$15:A$43,0))</f>
        <v>81.993557741265491</v>
      </c>
      <c r="G16" s="122">
        <f>INDEX((CropBurn!$I$17:$I$45),MATCH(A16,CropBurn!$A$17:A$45,0))</f>
        <v>2.237625</v>
      </c>
      <c r="H16" s="122">
        <f t="shared" si="2"/>
        <v>0</v>
      </c>
      <c r="I16" s="122">
        <f t="shared" si="3"/>
        <v>105.17582608343191</v>
      </c>
      <c r="K16" s="133">
        <f>INDEX((DirN2OManSoil!$H$15:$H$43),MATCH(A16,DirN2OManSoil!$A$15:A$43,0))</f>
        <v>50.522771403631971</v>
      </c>
      <c r="L16" s="133">
        <f>INDEX((DirN2OManSoil!$Z$15:$Z$43),MATCH(A16,DirN2OManSoil!$A$15:A$43,0))</f>
        <v>49.512315975559346</v>
      </c>
      <c r="M16" s="133">
        <f t="shared" si="4"/>
        <v>1.0104554280726248</v>
      </c>
      <c r="N16" s="133">
        <f t="shared" si="5"/>
        <v>104.36354472219469</v>
      </c>
      <c r="P16" s="136">
        <f>INDEX((DirN2OManSoil!$AK$26:$AK$43),MATCH(A16,DirN2OManSoil!$AB$26:AB$43,0))</f>
        <v>0.27910903152929911</v>
      </c>
      <c r="Q16" s="136">
        <f t="shared" si="0"/>
        <v>104.64265375372399</v>
      </c>
      <c r="S16" s="146">
        <f>INDEX((IndN2OManSoil!$T$18:$T$46),MATCH(A16,IndN2OManSoil!$A$18:A$46,0))</f>
        <v>0.20977667572365277</v>
      </c>
      <c r="T16">
        <f t="shared" si="6"/>
        <v>104.43287707800033</v>
      </c>
      <c r="V16" s="142">
        <f t="shared" si="7"/>
        <v>104.43287707800033</v>
      </c>
      <c r="W16">
        <f t="shared" si="8"/>
        <v>0.74294900543158349</v>
      </c>
    </row>
    <row r="17" spans="1:23" x14ac:dyDescent="0.25">
      <c r="A17" s="115">
        <v>2018</v>
      </c>
      <c r="B17" s="125">
        <f>INDEX((CropBurn!$E$17:$E$45),MATCH(A17,CropBurn!$A$17:A$45,0))</f>
        <v>2.2156875</v>
      </c>
      <c r="C17" s="125">
        <f>INDEX((DirN2OManSoil!$U$15:$U$43),MATCH(A17,DirN2OManSoil!$A$15:A$43,0))</f>
        <v>82.857126856287749</v>
      </c>
      <c r="D17" s="125">
        <f>INDEX((IndN2OManSoil!$I$18:$I$46),MATCH(A17,IndN2OManSoil!$A$18:A$46,0))</f>
        <v>21.471215423125425</v>
      </c>
      <c r="E17">
        <f t="shared" si="1"/>
        <v>106.54402977941318</v>
      </c>
      <c r="F17" s="100">
        <f>INDEX((DirN2OManSoilPol!$U$15:$U$43),MATCH(A17,DirN2OManSoilPol!$A$15:A$43,0))</f>
        <v>83.154387956540859</v>
      </c>
      <c r="G17" s="122">
        <f>INDEX((CropBurn!$I$17:$I$45),MATCH(A17,CropBurn!$A$17:A$45,0))</f>
        <v>2.2156875</v>
      </c>
      <c r="H17" s="122">
        <f t="shared" si="2"/>
        <v>0</v>
      </c>
      <c r="I17" s="122">
        <f t="shared" si="3"/>
        <v>106.54402977941318</v>
      </c>
      <c r="K17" s="133">
        <f>INDEX((DirN2OManSoil!$H$15:$H$43),MATCH(A17,DirN2OManSoil!$A$15:A$43,0))</f>
        <v>51.53322683170461</v>
      </c>
      <c r="L17" s="133">
        <f>INDEX((DirN2OManSoil!$Z$15:$Z$43),MATCH(A17,DirN2OManSoil!$A$15:A$43,0))</f>
        <v>49.987230026753473</v>
      </c>
      <c r="M17" s="133">
        <f t="shared" si="4"/>
        <v>1.5459968049511374</v>
      </c>
      <c r="N17" s="133">
        <f t="shared" si="5"/>
        <v>105.29529407471514</v>
      </c>
      <c r="P17" s="136">
        <f>INDEX((DirN2OManSoil!$AK$26:$AK$43),MATCH(A17,DirN2OManSoil!$AB$26:AB$43,0))</f>
        <v>0.56938242431977015</v>
      </c>
      <c r="Q17" s="136">
        <f t="shared" si="0"/>
        <v>105.86467649903491</v>
      </c>
      <c r="S17" s="146">
        <f>INDEX((IndN2OManSoil!$T$18:$T$46),MATCH(A17,IndN2OManSoil!$A$18:A$46,0))</f>
        <v>0.26046143127322097</v>
      </c>
      <c r="T17">
        <f t="shared" si="6"/>
        <v>105.60421506776169</v>
      </c>
      <c r="V17" s="142">
        <f t="shared" si="7"/>
        <v>105.60421506776169</v>
      </c>
      <c r="W17">
        <f t="shared" si="8"/>
        <v>0.93981471165149344</v>
      </c>
    </row>
    <row r="18" spans="1:23" x14ac:dyDescent="0.25">
      <c r="A18" s="116">
        <v>2019</v>
      </c>
      <c r="B18" s="125">
        <f>INDEX((CropBurn!$E$17:$E$45),MATCH(A18,CropBurn!$A$17:A$45,0))</f>
        <v>2.1937500000000001</v>
      </c>
      <c r="C18" s="125">
        <f>INDEX((DirN2OManSoil!$U$15:$U$43),MATCH(A18,DirN2OManSoil!$A$15:A$43,0))</f>
        <v>83.939079146706874</v>
      </c>
      <c r="D18" s="125">
        <f>INDEX((IndN2OManSoil!$I$18:$I$46),MATCH(A18,IndN2OManSoil!$A$18:A$46,0))</f>
        <v>21.806181397531507</v>
      </c>
      <c r="E18">
        <f t="shared" si="1"/>
        <v>107.93901054423837</v>
      </c>
      <c r="F18" s="100">
        <f>INDEX((DirN2OManSoilPol!$U$15:$U$43),MATCH(A18,DirN2OManSoilPol!$A$15:A$43,0))</f>
        <v>84.335427280377672</v>
      </c>
      <c r="G18" s="122">
        <f>INDEX((CropBurn!$I$17:$I$45),MATCH(A18,CropBurn!$A$17:A$45,0))</f>
        <v>2.1937500000000001</v>
      </c>
      <c r="H18" s="122">
        <f t="shared" si="2"/>
        <v>0</v>
      </c>
      <c r="I18" s="122">
        <f t="shared" si="3"/>
        <v>107.93901054423837</v>
      </c>
      <c r="K18" s="133">
        <f>INDEX((DirN2OManSoil!$H$15:$H$43),MATCH(A18,DirN2OManSoil!$A$15:A$43,0))</f>
        <v>52.563891368338702</v>
      </c>
      <c r="L18" s="133">
        <f>INDEX((DirN2OManSoil!$Z$15:$Z$43),MATCH(A18,DirN2OManSoil!$A$15:A$43,0))</f>
        <v>50.461335713605145</v>
      </c>
      <c r="M18" s="133">
        <f t="shared" si="4"/>
        <v>2.1025556547335569</v>
      </c>
      <c r="N18" s="133">
        <f t="shared" si="5"/>
        <v>106.23280302317562</v>
      </c>
      <c r="P18" s="136">
        <f>INDEX((DirN2OManSoil!$AK$26:$AK$43),MATCH(A18,DirN2OManSoil!$AB$26:AB$43,0))</f>
        <v>0.87115510920924843</v>
      </c>
      <c r="Q18" s="136">
        <f t="shared" si="0"/>
        <v>107.10395813238488</v>
      </c>
      <c r="S18" s="146">
        <f>INDEX((IndN2OManSoil!$T$18:$T$46),MATCH(A18,IndN2OManSoil!$A$18:A$46,0))</f>
        <v>0.31308966637447355</v>
      </c>
      <c r="T18">
        <f t="shared" si="6"/>
        <v>106.79086846601041</v>
      </c>
      <c r="V18" s="142">
        <f t="shared" si="7"/>
        <v>106.79086846601041</v>
      </c>
      <c r="W18">
        <f t="shared" si="8"/>
        <v>1.1481420782279628</v>
      </c>
    </row>
    <row r="19" spans="1:23" x14ac:dyDescent="0.25">
      <c r="A19" s="115">
        <v>2020</v>
      </c>
      <c r="B19" s="125">
        <f>INDEX((CropBurn!$E$17:$E$45),MATCH(A19,CropBurn!$A$17:A$45,0))</f>
        <v>2.1718125000000001</v>
      </c>
      <c r="C19" s="125">
        <f>INDEX((DirN2OManSoil!$U$15:$U$43),MATCH(A19,DirN2OManSoil!$A$15:A$43,0))</f>
        <v>85.041644727858653</v>
      </c>
      <c r="D19" s="125">
        <f>INDEX((IndN2OManSoil!$I$18:$I$46),MATCH(A19,IndN2OManSoil!$A$18:A$46,0))</f>
        <v>22.147846691425709</v>
      </c>
      <c r="E19">
        <f t="shared" si="1"/>
        <v>109.36130391928437</v>
      </c>
      <c r="F19" s="100">
        <f>INDEX((DirN2OManSoilPol!$U$15:$U$43),MATCH(A19,DirN2OManSoilPol!$A$15:A$43,0))</f>
        <v>85.537079894947155</v>
      </c>
      <c r="G19" s="122">
        <f>INDEX((CropBurn!$I$17:$I$45),MATCH(A19,CropBurn!$A$17:A$45,0))</f>
        <v>1.7374499999999999</v>
      </c>
      <c r="H19" s="122">
        <f t="shared" si="2"/>
        <v>0.43436250000000021</v>
      </c>
      <c r="I19" s="122">
        <f t="shared" si="3"/>
        <v>108.92694141928436</v>
      </c>
      <c r="K19" s="133">
        <f>INDEX((DirN2OManSoil!$H$15:$H$43),MATCH(A19,DirN2OManSoil!$A$15:A$43,0))</f>
        <v>53.615169195705469</v>
      </c>
      <c r="L19" s="133">
        <f>INDEX((DirN2OManSoil!$Z$15:$Z$43),MATCH(A19,DirN2OManSoil!$A$15:A$43,0))</f>
        <v>50.934410735920203</v>
      </c>
      <c r="M19" s="133">
        <f t="shared" si="4"/>
        <v>2.6807584597852667</v>
      </c>
      <c r="N19" s="133">
        <f t="shared" si="5"/>
        <v>107.1759806265876</v>
      </c>
      <c r="P19" s="136">
        <f>INDEX((DirN2OManSoil!$AK$26:$AK$43),MATCH(A19,DirN2OManSoil!$AB$26:AB$43,0))</f>
        <v>1.1847709485245785</v>
      </c>
      <c r="Q19" s="136">
        <f t="shared" si="0"/>
        <v>108.36075157511218</v>
      </c>
      <c r="S19" s="146">
        <f>INDEX((IndN2OManSoil!$T$18:$T$46),MATCH(A19,IndN2OManSoil!$A$18:A$46,0))</f>
        <v>0.36771884630726959</v>
      </c>
      <c r="T19">
        <f t="shared" si="6"/>
        <v>107.99303272880491</v>
      </c>
      <c r="V19" s="142">
        <f t="shared" si="7"/>
        <v>107.5586702288049</v>
      </c>
      <c r="W19">
        <f t="shared" si="8"/>
        <v>1.8026336904794675</v>
      </c>
    </row>
    <row r="20" spans="1:23" x14ac:dyDescent="0.25">
      <c r="A20" s="116">
        <v>2021</v>
      </c>
      <c r="B20" s="125">
        <f>INDEX((CropBurn!$E$17:$E$45),MATCH(A20,CropBurn!$A$17:A$45,0))</f>
        <v>2.1498750000000002</v>
      </c>
      <c r="C20" s="125">
        <f>INDEX((DirN2OManSoil!$U$15:$U$43),MATCH(A20,DirN2OManSoil!$A$15:A$43,0))</f>
        <v>85.118807649726335</v>
      </c>
      <c r="D20" s="125">
        <f>INDEX((IndN2OManSoil!$I$18:$I$46),MATCH(A20,IndN2OManSoil!$A$18:A$46,0))</f>
        <v>22.147846691425709</v>
      </c>
      <c r="E20">
        <f t="shared" si="1"/>
        <v>109.41652934115204</v>
      </c>
      <c r="F20" s="100">
        <f>INDEX((DirN2OManSoilPol!$U$15:$U$43),MATCH(A20,DirN2OManSoilPol!$A$15:A$43,0))</f>
        <v>85.69126413783394</v>
      </c>
      <c r="G20" s="122">
        <f>INDEX((CropBurn!$I$17:$I$45),MATCH(A20,CropBurn!$A$17:A$45,0))</f>
        <v>1.7199</v>
      </c>
      <c r="H20" s="122">
        <f t="shared" si="2"/>
        <v>0.42997500000000022</v>
      </c>
      <c r="I20" s="122">
        <f t="shared" si="3"/>
        <v>108.98655434115204</v>
      </c>
      <c r="K20" s="133">
        <f>INDEX((DirN2OManSoil!$H$15:$H$43),MATCH(A20,DirN2OManSoil!$A$15:A$43,0))</f>
        <v>53.615169195705469</v>
      </c>
      <c r="L20" s="133">
        <f>INDEX((DirN2OManSoil!$Z$15:$Z$43),MATCH(A20,DirN2OManSoil!$A$15:A$43,0))</f>
        <v>49.862107352006099</v>
      </c>
      <c r="M20" s="133">
        <f t="shared" si="4"/>
        <v>3.7530618436993706</v>
      </c>
      <c r="N20" s="133">
        <f t="shared" si="5"/>
        <v>106.23592398556028</v>
      </c>
      <c r="P20" s="136">
        <f>INDEX((DirN2OManSoil!$AK$26:$AK$43),MATCH(A20,DirN2OManSoil!$AB$26:AB$43,0))</f>
        <v>1.5105829593688369</v>
      </c>
      <c r="Q20" s="136">
        <f t="shared" si="0"/>
        <v>107.74650694492911</v>
      </c>
      <c r="S20" s="146">
        <f>INDEX((IndN2OManSoil!$T$18:$T$46),MATCH(A20,IndN2OManSoil!$A$18:A$46,0))</f>
        <v>0.57774734147054829</v>
      </c>
      <c r="T20">
        <f t="shared" si="6"/>
        <v>107.16875960345857</v>
      </c>
      <c r="V20" s="142">
        <f t="shared" si="7"/>
        <v>106.73878460345857</v>
      </c>
      <c r="W20">
        <f t="shared" si="8"/>
        <v>2.6777447376934731</v>
      </c>
    </row>
    <row r="21" spans="1:23" x14ac:dyDescent="0.25">
      <c r="A21" s="115">
        <v>2022</v>
      </c>
      <c r="B21" s="125">
        <f>INDEX((CropBurn!$E$17:$E$45),MATCH(A21,CropBurn!$A$17:A$45,0))</f>
        <v>2.1279374999999998</v>
      </c>
      <c r="C21" s="125">
        <f>INDEX((DirN2OManSoil!$U$15:$U$43),MATCH(A21,DirN2OManSoil!$A$15:A$43,0))</f>
        <v>85.195970571594032</v>
      </c>
      <c r="D21" s="125">
        <f>INDEX((IndN2OManSoil!$I$18:$I$46),MATCH(A21,IndN2OManSoil!$A$18:A$46,0))</f>
        <v>22.147846691425709</v>
      </c>
      <c r="E21">
        <f t="shared" si="1"/>
        <v>109.47175476301975</v>
      </c>
      <c r="F21" s="100">
        <f>INDEX((DirN2OManSoilPol!$U$15:$U$43),MATCH(A21,DirN2OManSoilPol!$A$15:A$43,0))</f>
        <v>85.845448380720725</v>
      </c>
      <c r="G21" s="122">
        <f>INDEX((CropBurn!$I$17:$I$45),MATCH(A21,CropBurn!$A$17:A$45,0))</f>
        <v>1.7023499999999998</v>
      </c>
      <c r="H21" s="122">
        <f t="shared" si="2"/>
        <v>0.42558750000000001</v>
      </c>
      <c r="I21" s="122">
        <f t="shared" si="3"/>
        <v>109.04616726301974</v>
      </c>
      <c r="K21" s="133">
        <f>INDEX((DirN2OManSoil!$H$15:$H$43),MATCH(A21,DirN2OManSoil!$A$15:A$43,0))</f>
        <v>53.615169195705469</v>
      </c>
      <c r="L21" s="133">
        <f>INDEX((DirN2OManSoil!$Z$15:$Z$43),MATCH(A21,DirN2OManSoil!$A$15:A$43,0))</f>
        <v>48.789803968091981</v>
      </c>
      <c r="M21" s="133">
        <f t="shared" si="4"/>
        <v>4.8253652276134886</v>
      </c>
      <c r="N21" s="133">
        <f t="shared" si="5"/>
        <v>105.29586734453295</v>
      </c>
      <c r="P21" s="136">
        <f>INDEX((DirN2OManSoil!$AK$26:$AK$43),MATCH(A21,DirN2OManSoil!$AB$26:AB$43,0))</f>
        <v>1.8489535422674563</v>
      </c>
      <c r="Q21" s="136">
        <f t="shared" si="0"/>
        <v>107.1448208868004</v>
      </c>
      <c r="S21" s="146">
        <f>INDEX((IndN2OManSoil!$T$18:$T$46),MATCH(A21,IndN2OManSoil!$A$18:A$46,0))</f>
        <v>0.78243844351072056</v>
      </c>
      <c r="T21">
        <f t="shared" si="6"/>
        <v>106.36238244328968</v>
      </c>
      <c r="V21" s="142">
        <f t="shared" si="7"/>
        <v>105.93679494328967</v>
      </c>
      <c r="W21">
        <f t="shared" si="8"/>
        <v>3.5349598197300764</v>
      </c>
    </row>
    <row r="22" spans="1:23" x14ac:dyDescent="0.25">
      <c r="A22" s="116">
        <v>2023</v>
      </c>
      <c r="B22" s="125">
        <f>INDEX((CropBurn!$E$17:$E$45),MATCH(A22,CropBurn!$A$17:A$45,0))</f>
        <v>2.1059999999999999</v>
      </c>
      <c r="C22" s="125">
        <f>INDEX((DirN2OManSoil!$U$15:$U$43),MATCH(A22,DirN2OManSoil!$A$15:A$43,0))</f>
        <v>85.273133493461742</v>
      </c>
      <c r="D22" s="125">
        <f>INDEX((IndN2OManSoil!$I$18:$I$46),MATCH(A22,IndN2OManSoil!$A$18:A$46,0))</f>
        <v>22.147846691425709</v>
      </c>
      <c r="E22">
        <f t="shared" si="1"/>
        <v>109.52698018488745</v>
      </c>
      <c r="F22" s="100">
        <f>INDEX((DirN2OManSoilPol!$U$15:$U$43),MATCH(A22,DirN2OManSoilPol!$A$15:A$43,0))</f>
        <v>85.999632623607525</v>
      </c>
      <c r="G22" s="122">
        <f>INDEX((CropBurn!$I$17:$I$45),MATCH(A22,CropBurn!$A$17:A$45,0))</f>
        <v>1.6847999999999999</v>
      </c>
      <c r="H22" s="122">
        <f t="shared" si="2"/>
        <v>0.42120000000000002</v>
      </c>
      <c r="I22" s="122">
        <f t="shared" si="3"/>
        <v>109.10578018488745</v>
      </c>
      <c r="K22" s="133">
        <f>INDEX((DirN2OManSoil!$H$15:$H$43),MATCH(A22,DirN2OManSoil!$A$15:A$43,0))</f>
        <v>53.615169195705469</v>
      </c>
      <c r="L22" s="133">
        <f>INDEX((DirN2OManSoil!$Z$15:$Z$43),MATCH(A22,DirN2OManSoil!$A$15:A$43,0))</f>
        <v>47.71750058417787</v>
      </c>
      <c r="M22" s="133">
        <f t="shared" si="4"/>
        <v>5.8976686115275996</v>
      </c>
      <c r="N22" s="133">
        <f t="shared" si="5"/>
        <v>104.35581070350563</v>
      </c>
      <c r="P22" s="136">
        <f>INDEX((DirN2OManSoil!$AK$26:$AK$43),MATCH(A22,DirN2OManSoil!$AB$26:AB$43,0))</f>
        <v>2.2002547152982728</v>
      </c>
      <c r="Q22" s="136">
        <f t="shared" si="0"/>
        <v>106.5560654188039</v>
      </c>
      <c r="S22" s="146">
        <f>INDEX((IndN2OManSoil!$T$18:$T$46),MATCH(A22,IndN2OManSoil!$A$18:A$46,0))</f>
        <v>0.98163404474470894</v>
      </c>
      <c r="T22">
        <f t="shared" si="6"/>
        <v>105.57443137405919</v>
      </c>
      <c r="V22" s="142">
        <f t="shared" si="7"/>
        <v>105.15323137405919</v>
      </c>
      <c r="W22">
        <f t="shared" si="8"/>
        <v>4.3737488108282605</v>
      </c>
    </row>
    <row r="23" spans="1:23" x14ac:dyDescent="0.25">
      <c r="A23" s="115">
        <v>2024</v>
      </c>
      <c r="B23" s="125">
        <f>INDEX((CropBurn!$E$17:$E$45),MATCH(A23,CropBurn!$A$17:A$45,0))</f>
        <v>2.0840624999999999</v>
      </c>
      <c r="C23" s="125">
        <f>INDEX((DirN2OManSoil!$U$15:$U$43),MATCH(A23,DirN2OManSoil!$A$15:A$43,0))</f>
        <v>85.350296415329424</v>
      </c>
      <c r="D23" s="125">
        <f>INDEX((IndN2OManSoil!$I$18:$I$46),MATCH(A23,IndN2OManSoil!$A$18:A$46,0))</f>
        <v>22.147846691425709</v>
      </c>
      <c r="E23">
        <f t="shared" si="1"/>
        <v>109.58220560675514</v>
      </c>
      <c r="F23" s="100">
        <f>INDEX((DirN2OManSoilPol!$U$15:$U$43),MATCH(A23,DirN2OManSoilPol!$A$15:A$43,0))</f>
        <v>86.15381686649431</v>
      </c>
      <c r="G23" s="122">
        <f>INDEX((CropBurn!$I$17:$I$45),MATCH(A23,CropBurn!$A$17:A$45,0))</f>
        <v>1.6672499999999999</v>
      </c>
      <c r="H23" s="122">
        <f t="shared" si="2"/>
        <v>0.41681250000000003</v>
      </c>
      <c r="I23" s="122">
        <f t="shared" si="3"/>
        <v>109.16539310675513</v>
      </c>
      <c r="K23" s="133">
        <f>INDEX((DirN2OManSoil!$H$15:$H$43),MATCH(A23,DirN2OManSoil!$A$15:A$43,0))</f>
        <v>53.615169195705469</v>
      </c>
      <c r="L23" s="133">
        <f>INDEX((DirN2OManSoil!$Z$15:$Z$43),MATCH(A23,DirN2OManSoil!$A$15:A$43,0))</f>
        <v>46.645197200263759</v>
      </c>
      <c r="M23" s="133">
        <f t="shared" si="4"/>
        <v>6.9699719954417105</v>
      </c>
      <c r="N23" s="133">
        <f t="shared" si="5"/>
        <v>103.41575406247831</v>
      </c>
      <c r="P23" s="136">
        <f>INDEX((DirN2OManSoil!$AK$26:$AK$43),MATCH(A23,DirN2OManSoil!$AB$26:AB$43,0))</f>
        <v>2.564868353833416</v>
      </c>
      <c r="Q23" s="136">
        <f t="shared" si="0"/>
        <v>105.98062241631173</v>
      </c>
      <c r="S23" s="146">
        <f>INDEX((IndN2OManSoil!$T$18:$T$46),MATCH(A23,IndN2OManSoil!$A$18:A$46,0))</f>
        <v>1.1751718481393603</v>
      </c>
      <c r="T23">
        <f t="shared" si="6"/>
        <v>104.80545056817238</v>
      </c>
      <c r="V23" s="142">
        <f t="shared" si="7"/>
        <v>104.38863806817237</v>
      </c>
      <c r="W23">
        <f t="shared" si="8"/>
        <v>5.1935675385827693</v>
      </c>
    </row>
    <row r="24" spans="1:23" x14ac:dyDescent="0.25">
      <c r="A24" s="116">
        <v>2025</v>
      </c>
      <c r="B24" s="125">
        <f>INDEX((CropBurn!$E$17:$E$45),MATCH(A24,CropBurn!$A$17:A$45,0))</f>
        <v>2.062125</v>
      </c>
      <c r="C24" s="125">
        <f>INDEX((DirN2OManSoil!$U$15:$U$43),MATCH(A24,DirN2OManSoil!$A$15:A$43,0))</f>
        <v>85.427459337197121</v>
      </c>
      <c r="D24" s="125">
        <f>INDEX((IndN2OManSoil!$I$18:$I$46),MATCH(A24,IndN2OManSoil!$A$18:A$46,0))</f>
        <v>22.147846691425709</v>
      </c>
      <c r="E24">
        <f t="shared" si="1"/>
        <v>109.63743102862283</v>
      </c>
      <c r="F24" s="100">
        <f>INDEX((DirN2OManSoilPol!$U$15:$U$43),MATCH(A24,DirN2OManSoilPol!$A$15:A$43,0))</f>
        <v>86.308001109381095</v>
      </c>
      <c r="G24" s="122">
        <f>INDEX((CropBurn!$I$17:$I$45),MATCH(A24,CropBurn!$A$17:A$45,0))</f>
        <v>1.6496999999999999</v>
      </c>
      <c r="H24" s="122">
        <f t="shared" si="2"/>
        <v>0.41242500000000004</v>
      </c>
      <c r="I24" s="122">
        <f t="shared" si="3"/>
        <v>109.22500602862283</v>
      </c>
      <c r="K24" s="133">
        <f>INDEX((DirN2OManSoil!$H$15:$H$43),MATCH(A24,DirN2OManSoil!$A$15:A$43,0))</f>
        <v>53.615169195705469</v>
      </c>
      <c r="L24" s="133">
        <f>INDEX((DirN2OManSoil!$Z$15:$Z$43),MATCH(A24,DirN2OManSoil!$A$15:A$43,0))</f>
        <v>45.572893816349648</v>
      </c>
      <c r="M24" s="133">
        <f t="shared" si="4"/>
        <v>8.0422753793558215</v>
      </c>
      <c r="N24" s="133">
        <f t="shared" si="5"/>
        <v>102.47569742145097</v>
      </c>
      <c r="P24" s="136">
        <f>INDEX((DirN2OManSoil!$AK$26:$AK$43),MATCH(A24,DirN2OManSoil!$AB$26:AB$43,0))</f>
        <v>2.9431864360238444</v>
      </c>
      <c r="Q24" s="136">
        <f t="shared" si="0"/>
        <v>105.41888385747482</v>
      </c>
      <c r="S24" s="146">
        <f>INDEX((IndN2OManSoil!$T$18:$T$46),MATCH(A24,IndN2OManSoil!$A$18:A$46,0))</f>
        <v>1.3628852629805124</v>
      </c>
      <c r="T24">
        <f t="shared" si="6"/>
        <v>104.05599859449431</v>
      </c>
      <c r="V24" s="142">
        <f t="shared" si="7"/>
        <v>103.64357359449431</v>
      </c>
      <c r="W24">
        <f t="shared" si="8"/>
        <v>5.9938574341285147</v>
      </c>
    </row>
    <row r="25" spans="1:23" x14ac:dyDescent="0.25">
      <c r="A25" s="115">
        <v>2026</v>
      </c>
      <c r="B25" s="125">
        <f>INDEX((CropBurn!$E$17:$E$45),MATCH(A25,CropBurn!$A$17:A$45,0))</f>
        <v>2.0401875</v>
      </c>
      <c r="C25" s="125">
        <f>INDEX((DirN2OManSoil!$U$15:$U$43),MATCH(A25,DirN2OManSoil!$A$15:A$43,0))</f>
        <v>85.472907281180269</v>
      </c>
      <c r="D25" s="125">
        <f>INDEX((IndN2OManSoil!$I$18:$I$46),MATCH(A25,IndN2OManSoil!$A$18:A$46,0))</f>
        <v>22.147846691425709</v>
      </c>
      <c r="E25">
        <f t="shared" si="1"/>
        <v>109.66094147260598</v>
      </c>
      <c r="F25" s="100">
        <f>INDEX((DirN2OManSoilPol!$U$15:$U$43),MATCH(A25,DirN2OManSoilPol!$A$15:A$43,0))</f>
        <v>86.423927252572625</v>
      </c>
      <c r="G25" s="122">
        <f>INDEX((CropBurn!$I$17:$I$45),MATCH(A25,CropBurn!$A$17:A$45,0))</f>
        <v>1.63215</v>
      </c>
      <c r="H25" s="122">
        <f t="shared" si="2"/>
        <v>0.40803750000000005</v>
      </c>
      <c r="I25" s="122">
        <f t="shared" si="3"/>
        <v>109.25290397260598</v>
      </c>
      <c r="K25" s="133">
        <f>INDEX((DirN2OManSoil!$H$15:$H$43),MATCH(A25,DirN2OManSoil!$A$15:A$43,0))</f>
        <v>53.615169195705469</v>
      </c>
      <c r="L25" s="133">
        <f>INDEX((DirN2OManSoil!$Z$15:$Z$43),MATCH(A25,DirN2OManSoil!$A$15:A$43,0))</f>
        <v>44.500590432435537</v>
      </c>
      <c r="M25" s="133">
        <f t="shared" si="4"/>
        <v>9.1145787632699324</v>
      </c>
      <c r="N25" s="133">
        <f t="shared" si="5"/>
        <v>101.49738268072841</v>
      </c>
      <c r="P25" s="136">
        <f>INDEX((DirN2OManSoil!$AK$26:$AK$43),MATCH(A25,DirN2OManSoil!$AB$26:AB$43,0))</f>
        <v>3.3356112941603562</v>
      </c>
      <c r="Q25" s="136">
        <f t="shared" si="0"/>
        <v>104.83299397488877</v>
      </c>
      <c r="S25" s="146">
        <f>INDEX((IndN2OManSoil!$T$18:$T$46),MATCH(A25,IndN2OManSoil!$A$18:A$46,0))</f>
        <v>1.5446032980445814</v>
      </c>
      <c r="T25">
        <f t="shared" si="6"/>
        <v>103.28839067684419</v>
      </c>
      <c r="V25" s="142">
        <f t="shared" si="7"/>
        <v>102.88035317684418</v>
      </c>
      <c r="W25">
        <f t="shared" si="8"/>
        <v>6.7805882957618024</v>
      </c>
    </row>
    <row r="26" spans="1:23" x14ac:dyDescent="0.25">
      <c r="A26" s="116">
        <v>2027</v>
      </c>
      <c r="B26" s="125">
        <f>INDEX((CropBurn!$E$17:$E$45),MATCH(A26,CropBurn!$A$17:A$45,0))</f>
        <v>2.0182500000000001</v>
      </c>
      <c r="C26" s="125">
        <f>INDEX((DirN2OManSoil!$U$15:$U$43),MATCH(A26,DirN2OManSoil!$A$15:A$43,0))</f>
        <v>85.518355225163432</v>
      </c>
      <c r="D26" s="125">
        <f>INDEX((IndN2OManSoil!$I$18:$I$46),MATCH(A26,IndN2OManSoil!$A$18:A$46,0))</f>
        <v>22.147846691425709</v>
      </c>
      <c r="E26">
        <f t="shared" si="1"/>
        <v>109.68445191658914</v>
      </c>
      <c r="F26" s="100">
        <f>INDEX((DirN2OManSoilPol!$U$15:$U$43),MATCH(A26,DirN2OManSoilPol!$A$15:A$43,0))</f>
        <v>86.539853395764169</v>
      </c>
      <c r="G26" s="122">
        <f>INDEX((CropBurn!$I$17:$I$45),MATCH(A26,CropBurn!$A$17:A$45,0))</f>
        <v>1.6146</v>
      </c>
      <c r="H26" s="122">
        <f t="shared" si="2"/>
        <v>0.40365000000000006</v>
      </c>
      <c r="I26" s="122">
        <f t="shared" si="3"/>
        <v>109.28080191658914</v>
      </c>
      <c r="K26" s="133">
        <f>INDEX((DirN2OManSoil!$H$15:$H$43),MATCH(A26,DirN2OManSoil!$A$15:A$43,0))</f>
        <v>53.615169195705469</v>
      </c>
      <c r="L26" s="133">
        <f>INDEX((DirN2OManSoil!$Z$15:$Z$43),MATCH(A26,DirN2OManSoil!$A$15:A$43,0))</f>
        <v>43.428287048521426</v>
      </c>
      <c r="M26" s="133">
        <f t="shared" si="4"/>
        <v>10.186882147184043</v>
      </c>
      <c r="N26" s="133">
        <f t="shared" si="5"/>
        <v>100.51906794000584</v>
      </c>
      <c r="P26" s="136">
        <f>INDEX((DirN2OManSoil!$AK$26:$AK$43),MATCH(A26,DirN2OManSoil!$AB$26:AB$43,0))</f>
        <v>4.0827882240522761</v>
      </c>
      <c r="Q26" s="136">
        <f t="shared" si="0"/>
        <v>104.60185616405812</v>
      </c>
      <c r="S26" s="146">
        <f>INDEX((IndN2OManSoil!$T$18:$T$46),MATCH(A26,IndN2OManSoil!$A$18:A$46,0))</f>
        <v>1.5755517026126</v>
      </c>
      <c r="T26">
        <f t="shared" si="6"/>
        <v>103.02630446144552</v>
      </c>
      <c r="V26" s="142">
        <f t="shared" si="7"/>
        <v>102.62265446144552</v>
      </c>
      <c r="W26">
        <f t="shared" si="8"/>
        <v>7.0617974551436191</v>
      </c>
    </row>
    <row r="27" spans="1:23" x14ac:dyDescent="0.25">
      <c r="A27" s="115">
        <v>2028</v>
      </c>
      <c r="B27" s="125">
        <f>INDEX((CropBurn!$E$17:$E$45),MATCH(A27,CropBurn!$A$17:A$45,0))</f>
        <v>1.9963125000000002</v>
      </c>
      <c r="C27" s="125">
        <f>INDEX((DirN2OManSoil!$U$15:$U$43),MATCH(A27,DirN2OManSoil!$A$15:A$43,0))</f>
        <v>85.56380316914661</v>
      </c>
      <c r="D27" s="125">
        <f>INDEX((IndN2OManSoil!$I$18:$I$46),MATCH(A27,IndN2OManSoil!$A$18:A$46,0))</f>
        <v>22.147846691425709</v>
      </c>
      <c r="E27">
        <f t="shared" si="1"/>
        <v>109.70796236057232</v>
      </c>
      <c r="F27" s="100">
        <f>INDEX((DirN2OManSoilPol!$U$15:$U$43),MATCH(A27,DirN2OManSoilPol!$A$15:A$43,0))</f>
        <v>86.655779538955713</v>
      </c>
      <c r="G27" s="122">
        <f>INDEX((CropBurn!$I$17:$I$45),MATCH(A27,CropBurn!$A$17:A$45,0))</f>
        <v>1.5970500000000001</v>
      </c>
      <c r="H27" s="122">
        <f t="shared" si="2"/>
        <v>0.39926250000000008</v>
      </c>
      <c r="I27" s="122">
        <f t="shared" si="3"/>
        <v>109.30869986057232</v>
      </c>
      <c r="K27" s="133">
        <f>INDEX((DirN2OManSoil!$H$15:$H$43),MATCH(A27,DirN2OManSoil!$A$15:A$43,0))</f>
        <v>53.615169195705469</v>
      </c>
      <c r="L27" s="133">
        <f>INDEX((DirN2OManSoil!$Z$15:$Z$43),MATCH(A27,DirN2OManSoil!$A$15:A$43,0))</f>
        <v>42.355983664607315</v>
      </c>
      <c r="M27" s="133">
        <f t="shared" si="4"/>
        <v>11.259185531098154</v>
      </c>
      <c r="N27" s="133">
        <f t="shared" si="5"/>
        <v>99.540753199283273</v>
      </c>
      <c r="P27" s="136">
        <f>INDEX((DirN2OManSoil!$AK$26:$AK$43),MATCH(A27,DirN2OManSoil!$AB$26:AB$43,0))</f>
        <v>4.5114809875777651</v>
      </c>
      <c r="Q27" s="136">
        <f t="shared" si="0"/>
        <v>104.05223418686104</v>
      </c>
      <c r="S27" s="146">
        <f>INDEX((IndN2OManSoil!$T$18:$T$46),MATCH(A27,IndN2OManSoil!$A$18:A$46,0))</f>
        <v>1.7418558778863549</v>
      </c>
      <c r="T27">
        <f t="shared" si="6"/>
        <v>102.31037830897469</v>
      </c>
      <c r="V27" s="142">
        <f t="shared" si="7"/>
        <v>101.91111580897469</v>
      </c>
      <c r="W27">
        <f t="shared" si="8"/>
        <v>7.7968465515976391</v>
      </c>
    </row>
    <row r="28" spans="1:23" x14ac:dyDescent="0.25">
      <c r="A28" s="116">
        <v>2029</v>
      </c>
      <c r="B28" s="125">
        <f>INDEX((CropBurn!$E$17:$E$45),MATCH(A28,CropBurn!$A$17:A$45,0))</f>
        <v>1.9853437499999997</v>
      </c>
      <c r="C28" s="125">
        <f>INDEX((DirN2OManSoil!$U$15:$U$43),MATCH(A28,DirN2OManSoil!$A$15:A$43,0))</f>
        <v>85.609251113129773</v>
      </c>
      <c r="D28" s="125">
        <f>INDEX((IndN2OManSoil!$I$18:$I$46),MATCH(A28,IndN2OManSoil!$A$18:A$46,0))</f>
        <v>22.147846691425709</v>
      </c>
      <c r="E28">
        <f t="shared" si="1"/>
        <v>109.74244155455548</v>
      </c>
      <c r="F28" s="100">
        <f>INDEX((DirN2OManSoilPol!$U$15:$U$43),MATCH(A28,DirN2OManSoilPol!$A$15:A$43,0))</f>
        <v>86.771705682147271</v>
      </c>
      <c r="G28" s="122">
        <f>INDEX((CropBurn!$I$17:$I$45),MATCH(A28,CropBurn!$A$17:A$45,0))</f>
        <v>1.5882750000000001</v>
      </c>
      <c r="H28" s="122">
        <f t="shared" si="2"/>
        <v>0.39706874999999964</v>
      </c>
      <c r="I28" s="122">
        <f t="shared" si="3"/>
        <v>109.34537280455548</v>
      </c>
      <c r="K28" s="133">
        <f>INDEX((DirN2OManSoil!$H$15:$H$43),MATCH(A28,DirN2OManSoil!$A$15:A$43,0))</f>
        <v>53.615169195705469</v>
      </c>
      <c r="L28" s="133">
        <f>INDEX((DirN2OManSoil!$Z$15:$Z$43),MATCH(A28,DirN2OManSoil!$A$15:A$43,0))</f>
        <v>41.283680280693211</v>
      </c>
      <c r="M28" s="133">
        <f t="shared" si="4"/>
        <v>12.331488915012258</v>
      </c>
      <c r="N28" s="133">
        <f t="shared" si="5"/>
        <v>98.573407208560724</v>
      </c>
      <c r="P28" s="136">
        <f>INDEX((DirN2OManSoil!$AK$26:$AK$43),MATCH(A28,DirN2OManSoil!$AB$26:AB$43,0))</f>
        <v>4.9556883463546546</v>
      </c>
      <c r="Q28" s="136">
        <f t="shared" si="0"/>
        <v>103.52909555491537</v>
      </c>
      <c r="S28" s="146">
        <f>INDEX((IndN2OManSoil!$T$18:$T$46),MATCH(A28,IndN2OManSoil!$A$18:A$46,0))</f>
        <v>1.9015663501782605</v>
      </c>
      <c r="T28">
        <f t="shared" si="6"/>
        <v>101.62752920473712</v>
      </c>
      <c r="V28" s="142">
        <f t="shared" si="7"/>
        <v>101.23046045473711</v>
      </c>
      <c r="W28">
        <f t="shared" si="8"/>
        <v>8.5119810998183709</v>
      </c>
    </row>
    <row r="29" spans="1:23" x14ac:dyDescent="0.25">
      <c r="A29" s="115">
        <v>2030</v>
      </c>
      <c r="B29" s="125">
        <f>INDEX((CropBurn!$E$17:$E$45),MATCH(A29,CropBurn!$A$17:A$45,0))</f>
        <v>1.9743749999999998</v>
      </c>
      <c r="C29" s="125">
        <f>INDEX((DirN2OManSoil!$U$15:$U$43),MATCH(A29,DirN2OManSoil!$A$15:A$43,0))</f>
        <v>85.654699057112936</v>
      </c>
      <c r="D29" s="125">
        <f>INDEX((IndN2OManSoil!$I$18:$I$46),MATCH(A29,IndN2OManSoil!$A$18:A$46,0))</f>
        <v>22.147846691425709</v>
      </c>
      <c r="E29">
        <f t="shared" si="1"/>
        <v>109.77692074853864</v>
      </c>
      <c r="F29" s="100">
        <f>INDEX((DirN2OManSoilPol!$U$15:$U$43),MATCH(A29,DirN2OManSoilPol!$A$15:A$43,0))</f>
        <v>86.887631825338815</v>
      </c>
      <c r="G29" s="122">
        <f>INDEX((CropBurn!$I$17:$I$45),MATCH(A29,CropBurn!$A$17:A$45,0))</f>
        <v>1.5795000000000001</v>
      </c>
      <c r="H29" s="122">
        <f>B29-G29</f>
        <v>0.39487499999999964</v>
      </c>
      <c r="I29" s="122">
        <f>E29-H29</f>
        <v>109.38204574853864</v>
      </c>
      <c r="K29" s="133">
        <f>INDEX((DirN2OManSoil!$H$15:$H$43),MATCH(A29,DirN2OManSoil!$A$15:A$43,0))</f>
        <v>53.615169195705469</v>
      </c>
      <c r="L29" s="133">
        <f>INDEX((DirN2OManSoil!$Z$15:$Z$43),MATCH(A29,DirN2OManSoil!$A$15:A$43,0))</f>
        <v>40.211376896779093</v>
      </c>
      <c r="M29" s="133">
        <f t="shared" si="4"/>
        <v>13.403792298926376</v>
      </c>
      <c r="N29" s="133">
        <f t="shared" si="5"/>
        <v>97.606061217838146</v>
      </c>
      <c r="P29" s="136">
        <f>INDEX((DirN2OManSoil!$AK$26:$AK$43),MATCH(A29,DirN2OManSoil!$AB$26:AB$43,0))</f>
        <v>5.4158594070875861</v>
      </c>
      <c r="Q29" s="136">
        <f t="shared" si="0"/>
        <v>103.02192062492573</v>
      </c>
      <c r="S29" s="146">
        <f>INDEX((IndN2OManSoil!$T$18:$T$46),MATCH(A29,IndN2OManSoil!$A$18:A$46,0))</f>
        <v>2.0544922491388533</v>
      </c>
      <c r="T29">
        <f t="shared" si="6"/>
        <v>100.96742837578688</v>
      </c>
      <c r="V29" s="142">
        <f t="shared" si="7"/>
        <v>100.57255337578688</v>
      </c>
      <c r="W29">
        <f t="shared" si="8"/>
        <v>9.2043673727517614</v>
      </c>
    </row>
    <row r="30" spans="1:23" x14ac:dyDescent="0.25">
      <c r="A30" s="176">
        <v>2035</v>
      </c>
      <c r="B30" s="125">
        <f>INDEX((CropBurn!$E$17:$E$45),MATCH(A30,CropBurn!$A$17:A$45,0))</f>
        <v>1.9305000000000001</v>
      </c>
      <c r="C30" s="125">
        <f>INDEX((DirN2OManSoil!$U$15:$U$43),MATCH(A30,DirN2OManSoil!$A$15:A$43,0))</f>
        <v>86.167802471123395</v>
      </c>
      <c r="D30" s="125">
        <f>INDEX((IndN2OManSoil!$I$18:$I$46),MATCH(A30,IndN2OManSoil!$A$18:A$46,0))</f>
        <v>22.147846691425709</v>
      </c>
      <c r="E30">
        <f t="shared" si="1"/>
        <v>110.2461491625491</v>
      </c>
      <c r="F30" s="100">
        <f>INDEX((DirN2OManSoilPol!$U$15:$U$43),MATCH(A30,DirN2OManSoilPol!$A$15:A$43,0))</f>
        <v>87.844501596530336</v>
      </c>
      <c r="G30" s="122">
        <f>INDEX((CropBurn!$I$17:$I$45),MATCH(A30,CropBurn!$A$17:A$45,0))</f>
        <v>1.3513500000000003</v>
      </c>
      <c r="H30" s="122">
        <f t="shared" ref="H30:H33" si="9">B30-G30</f>
        <v>0.57914999999999983</v>
      </c>
      <c r="I30" s="122">
        <f t="shared" ref="I30:I33" si="10">E30-H30</f>
        <v>109.6669991625491</v>
      </c>
      <c r="K30" s="133">
        <f>INDEX((DirN2OManSoil!$H$15:$H$43),MATCH(A30,DirN2OManSoil!$A$15:A$43,0))</f>
        <v>53.615169195705469</v>
      </c>
      <c r="L30" s="133">
        <f>INDEX((DirN2OManSoil!$Z$15:$Z$43),MATCH(A30,DirN2OManSoil!$A$15:A$43,0))</f>
        <v>37.530618436993812</v>
      </c>
      <c r="M30" s="133">
        <f t="shared" si="4"/>
        <v>16.084550758711657</v>
      </c>
      <c r="N30" s="133">
        <f t="shared" si="5"/>
        <v>95.838297529244386</v>
      </c>
      <c r="P30" s="136">
        <f>INDEX((DirN2OManSoil!$AK$26:$AK$43),MATCH(A30,DirN2OManSoil!$AB$26:AB$43,0))</f>
        <v>6.9761374715614597</v>
      </c>
      <c r="Q30" s="136">
        <f t="shared" si="0"/>
        <v>102.81443500080584</v>
      </c>
      <c r="S30" s="146">
        <f>INDEX((IndN2OManSoil!$T$18:$T$46),MATCH(A30,IndN2OManSoil!$A$18:A$46,0))</f>
        <v>2.2626205711676697</v>
      </c>
      <c r="T30">
        <f t="shared" si="6"/>
        <v>100.55181442963817</v>
      </c>
      <c r="V30" s="142">
        <f t="shared" si="7"/>
        <v>99.972664429638172</v>
      </c>
      <c r="W30">
        <f t="shared" si="8"/>
        <v>10.27348473291093</v>
      </c>
    </row>
    <row r="31" spans="1:23" x14ac:dyDescent="0.25">
      <c r="A31" s="177">
        <v>2040</v>
      </c>
      <c r="B31" s="125">
        <f>INDEX((CropBurn!$E$17:$E$45),MATCH(A31,CropBurn!$A$17:A$45,0))</f>
        <v>1.886625</v>
      </c>
      <c r="C31" s="125">
        <f>INDEX((DirN2OManSoil!$U$15:$U$43),MATCH(A31,DirN2OManSoil!$A$15:A$43,0))</f>
        <v>86.678911873744681</v>
      </c>
      <c r="D31" s="125">
        <f>INDEX((IndN2OManSoil!$I$18:$I$46),MATCH(A31,IndN2OManSoil!$A$18:A$46,0))</f>
        <v>22.147846691425709</v>
      </c>
      <c r="E31">
        <f t="shared" si="1"/>
        <v>110.71338356517039</v>
      </c>
      <c r="F31" s="100">
        <f>INDEX((DirN2OManSoilPol!$U$15:$U$43),MATCH(A31,DirN2OManSoilPol!$A$15:A$43,0))</f>
        <v>88.793377913904109</v>
      </c>
      <c r="G31" s="122">
        <f>INDEX((CropBurn!$I$17:$I$45),MATCH(A31,CropBurn!$A$17:A$45,0))</f>
        <v>1.1319750000000002</v>
      </c>
      <c r="H31" s="122">
        <f t="shared" si="9"/>
        <v>0.75464999999999982</v>
      </c>
      <c r="I31" s="122">
        <f t="shared" si="10"/>
        <v>109.95873356517039</v>
      </c>
      <c r="K31" s="133">
        <f>INDEX((DirN2OManSoil!$H$15:$H$43),MATCH(A31,DirN2OManSoil!$A$15:A$43,0))</f>
        <v>53.615169195705469</v>
      </c>
      <c r="L31" s="133">
        <f>INDEX((DirN2OManSoil!$Z$15:$Z$43),MATCH(A31,DirN2OManSoil!$A$15:A$43,0))</f>
        <v>34.849859977208546</v>
      </c>
      <c r="M31" s="133">
        <f t="shared" si="4"/>
        <v>18.765309218496924</v>
      </c>
      <c r="N31" s="133">
        <f t="shared" si="5"/>
        <v>94.062540386832893</v>
      </c>
      <c r="P31" s="136">
        <f>INDEX((DirN2OManSoil!$AK$26:$AK$43),MATCH(A31,DirN2OManSoil!$AB$26:AB$43,0))</f>
        <v>8.8025365289545121</v>
      </c>
      <c r="Q31" s="136">
        <f t="shared" si="0"/>
        <v>102.8650769157874</v>
      </c>
      <c r="S31" s="146">
        <f>INDEX((IndN2OManSoil!$T$18:$T$46),MATCH(A31,IndN2OManSoil!$A$18:A$46,0))</f>
        <v>2.3576474712058406</v>
      </c>
      <c r="T31">
        <f t="shared" si="6"/>
        <v>100.50742944458156</v>
      </c>
      <c r="V31" s="142">
        <f t="shared" si="7"/>
        <v>99.752779444581563</v>
      </c>
      <c r="W31">
        <f t="shared" si="8"/>
        <v>10.960604120588826</v>
      </c>
    </row>
    <row r="32" spans="1:23" x14ac:dyDescent="0.25">
      <c r="A32" s="176">
        <v>2045</v>
      </c>
      <c r="B32" s="125">
        <f>INDEX((CropBurn!$E$17:$E$45),MATCH(A32,CropBurn!$A$17:A$45,0))</f>
        <v>1.8427499999999997</v>
      </c>
      <c r="C32" s="125">
        <f>INDEX((DirN2OManSoil!$U$15:$U$43),MATCH(A32,DirN2OManSoil!$A$15:A$43,0))</f>
        <v>87.264244579180172</v>
      </c>
      <c r="D32" s="125">
        <f>INDEX((IndN2OManSoil!$I$18:$I$46),MATCH(A32,IndN2OManSoil!$A$18:A$46,0))</f>
        <v>22.147846691425709</v>
      </c>
      <c r="E32">
        <f t="shared" si="1"/>
        <v>111.25484127060588</v>
      </c>
      <c r="F32" s="100">
        <f>INDEX((DirN2OManSoilPol!$U$15:$U$43),MATCH(A32,DirN2OManSoilPol!$A$15:A$43,0))</f>
        <v>89.798661719710978</v>
      </c>
      <c r="G32" s="122">
        <f>INDEX((CropBurn!$I$17:$I$45),MATCH(A32,CropBurn!$A$17:A$45,0))</f>
        <v>1.0135125</v>
      </c>
      <c r="H32" s="122">
        <f t="shared" si="9"/>
        <v>0.82923749999999963</v>
      </c>
      <c r="I32" s="122">
        <f t="shared" si="10"/>
        <v>110.42560377060587</v>
      </c>
      <c r="K32" s="133">
        <f>INDEX((DirN2OManSoil!$H$15:$H$43),MATCH(A32,DirN2OManSoil!$A$15:A$43,0))</f>
        <v>53.615169195705469</v>
      </c>
      <c r="L32" s="133">
        <f>INDEX((DirN2OManSoil!$Z$15:$Z$43),MATCH(A32,DirN2OManSoil!$A$15:A$43,0))</f>
        <v>32.169101517423265</v>
      </c>
      <c r="M32" s="133">
        <f t="shared" si="4"/>
        <v>21.446067678282205</v>
      </c>
      <c r="N32" s="133">
        <f t="shared" si="5"/>
        <v>92.343190732854481</v>
      </c>
      <c r="P32" s="136">
        <f>INDEX((DirN2OManSoil!$AK$26:$AK$43),MATCH(A32,DirN2OManSoil!$AB$26:AB$43,0))</f>
        <v>10.933550551221119</v>
      </c>
      <c r="Q32" s="136">
        <f t="shared" si="0"/>
        <v>103.2767412840756</v>
      </c>
      <c r="S32" s="146">
        <f>INDEX((IndN2OManSoil!$T$18:$T$46),MATCH(A32,IndN2OManSoil!$A$18:A$46,0))</f>
        <v>2.3232130111727436</v>
      </c>
      <c r="T32">
        <f t="shared" si="6"/>
        <v>100.95352827290286</v>
      </c>
      <c r="V32" s="142">
        <f t="shared" si="7"/>
        <v>100.12429077290285</v>
      </c>
      <c r="W32">
        <f t="shared" si="8"/>
        <v>11.130550497703027</v>
      </c>
    </row>
    <row r="33" spans="1:23" x14ac:dyDescent="0.25">
      <c r="A33" s="177">
        <v>2050</v>
      </c>
      <c r="B33" s="125">
        <f>INDEX((CropBurn!$E$17:$E$45),MATCH(A33,CropBurn!$A$17:A$45,0))</f>
        <v>1.7549999999999999</v>
      </c>
      <c r="C33" s="125">
        <f>INDEX((DirN2OManSoil!$U$15:$U$43),MATCH(A33,DirN2OManSoil!$A$15:A$43,0))</f>
        <v>87.849577284615663</v>
      </c>
      <c r="D33" s="125">
        <f>INDEX((IndN2OManSoil!$I$18:$I$46),MATCH(A33,IndN2OManSoil!$A$18:A$46,0))</f>
        <v>22.147846691425709</v>
      </c>
      <c r="E33">
        <f t="shared" si="1"/>
        <v>111.75242397604137</v>
      </c>
      <c r="F33" s="100">
        <f>INDEX((DirN2OManSoilPol!$U$15:$U$43),MATCH(A33,DirN2OManSoilPol!$A$15:A$43,0))</f>
        <v>90.803945525517847</v>
      </c>
      <c r="G33" s="122">
        <f>INDEX((CropBurn!$I$17:$I$45),MATCH(A33,CropBurn!$A$17:A$45,0))</f>
        <v>0.87749999999999995</v>
      </c>
      <c r="H33" s="122">
        <f t="shared" si="9"/>
        <v>0.87749999999999995</v>
      </c>
      <c r="I33" s="122">
        <f t="shared" si="10"/>
        <v>110.87492397604137</v>
      </c>
      <c r="K33" s="133">
        <f>INDEX((DirN2OManSoil!$H$15:$H$43),MATCH(A33,DirN2OManSoil!$A$15:A$43,0))</f>
        <v>53.615169195705469</v>
      </c>
      <c r="L33" s="133">
        <f>INDEX((DirN2OManSoil!$Z$15:$Z$43),MATCH(A33,DirN2OManSoil!$A$15:A$43,0))</f>
        <v>29.488343057637987</v>
      </c>
      <c r="M33" s="133">
        <f t="shared" si="4"/>
        <v>24.126826138067482</v>
      </c>
      <c r="N33" s="133">
        <f t="shared" si="5"/>
        <v>90.579966078876069</v>
      </c>
      <c r="P33" s="136">
        <f>INDEX((DirN2OManSoil!$AK$26:$AK$43),MATCH(A33,DirN2OManSoil!$AB$26:AB$43,0))</f>
        <v>13.41280363824446</v>
      </c>
      <c r="Q33" s="136">
        <f t="shared" si="0"/>
        <v>103.99276971712052</v>
      </c>
      <c r="S33" s="146">
        <f>INDEX((IndN2OManSoil!$T$18:$T$46),MATCH(A33,IndN2OManSoil!$A$18:A$46,0))</f>
        <v>2.1407769486180399</v>
      </c>
      <c r="T33">
        <f t="shared" si="6"/>
        <v>101.85199276850248</v>
      </c>
      <c r="V33" s="142">
        <f t="shared" si="7"/>
        <v>100.97449276850249</v>
      </c>
      <c r="W33">
        <f t="shared" si="8"/>
        <v>10.777931207538884</v>
      </c>
    </row>
  </sheetData>
  <mergeCells count="7">
    <mergeCell ref="S2:T2"/>
    <mergeCell ref="S3:T3"/>
    <mergeCell ref="B3:E3"/>
    <mergeCell ref="G3:I3"/>
    <mergeCell ref="K3:N3"/>
    <mergeCell ref="P3:Q3"/>
    <mergeCell ref="K2:Q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B8" sqref="B8"/>
    </sheetView>
  </sheetViews>
  <sheetFormatPr defaultRowHeight="15" x14ac:dyDescent="0.25"/>
  <sheetData>
    <row r="1" spans="1:19" x14ac:dyDescent="0.25">
      <c r="A1" s="4" t="s">
        <v>208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9" x14ac:dyDescent="0.25">
      <c r="A2" s="4" t="s">
        <v>209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9" x14ac:dyDescent="0.25">
      <c r="A3" s="4" t="s">
        <v>210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9" x14ac:dyDescent="0.25">
      <c r="A4" s="4" t="s">
        <v>212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6" spans="1:19" x14ac:dyDescent="0.25">
      <c r="B6" s="198" t="s">
        <v>345</v>
      </c>
      <c r="C6" s="198"/>
      <c r="D6" s="198"/>
      <c r="E6" s="198"/>
      <c r="F6" s="198"/>
      <c r="G6" s="198"/>
      <c r="H6" s="198"/>
      <c r="I6" s="198"/>
      <c r="K6" s="199" t="s">
        <v>346</v>
      </c>
      <c r="L6" s="199"/>
      <c r="M6" s="199"/>
      <c r="N6" s="199"/>
      <c r="O6" s="199"/>
    </row>
    <row r="7" spans="1:19" ht="30" x14ac:dyDescent="0.25">
      <c r="A7" s="82" t="s">
        <v>0</v>
      </c>
      <c r="B7" s="83" t="s">
        <v>211</v>
      </c>
      <c r="C7" s="83" t="s">
        <v>213</v>
      </c>
      <c r="D7" s="84" t="s">
        <v>214</v>
      </c>
      <c r="E7" s="84" t="s">
        <v>215</v>
      </c>
      <c r="F7" s="84" t="s">
        <v>216</v>
      </c>
      <c r="G7" s="84" t="s">
        <v>217</v>
      </c>
      <c r="H7" s="83" t="s">
        <v>218</v>
      </c>
      <c r="I7" s="84" t="s">
        <v>131</v>
      </c>
      <c r="K7" s="144" t="s">
        <v>0</v>
      </c>
      <c r="L7" s="144" t="s">
        <v>211</v>
      </c>
      <c r="M7" s="144" t="s">
        <v>213</v>
      </c>
      <c r="N7" s="144" t="s">
        <v>214</v>
      </c>
      <c r="O7" s="144" t="s">
        <v>215</v>
      </c>
      <c r="P7" s="144" t="s">
        <v>216</v>
      </c>
      <c r="Q7" s="144" t="s">
        <v>217</v>
      </c>
      <c r="R7" s="144" t="s">
        <v>218</v>
      </c>
      <c r="S7" s="144" t="s">
        <v>131</v>
      </c>
    </row>
    <row r="8" spans="1:19" x14ac:dyDescent="0.25">
      <c r="A8">
        <v>2006</v>
      </c>
      <c r="B8">
        <f>'Master Table 2006 2013'!C$6*'CH4 Emission factors'!$D$3*CropBurn!$F$10*0.000001</f>
        <v>2.5725499999999997</v>
      </c>
      <c r="C8">
        <f>'Master Table 2006 2013'!C$7*'CH4 Emission factors'!$D$4*CropBurn!$F$10*0.000001</f>
        <v>5.4373999999999993</v>
      </c>
      <c r="D8">
        <f>'Master Table 2006 2013'!C$17*'CH4 Emission factors'!$D$9*CropBurn!$F$10*0.000001</f>
        <v>0.15971874999999999</v>
      </c>
      <c r="E8">
        <f>'Master Table 2006 2013'!C$12*'CH4 Emission factors'!$D$10*CropBurn!$F$10*0.000001</f>
        <v>3.0683750000000001</v>
      </c>
      <c r="F8">
        <f>'Master Table 2006 2013'!C$44*'CH4 Emission factors'!$D$11*CropBurn!$F$10*0.000001</f>
        <v>0.29475000000000001</v>
      </c>
      <c r="G8">
        <f>'Master Table 2006 2013'!C$19*'CH4 Emission factors'!$D$14*CropBurn!$F$10*0.000001</f>
        <v>0.38297500000000001</v>
      </c>
      <c r="H8">
        <f>'Master Table 2006 2013'!C$46*'CH4 Emission factors'!$D$23*CropBurn!$F$10*0.000001</f>
        <v>8</v>
      </c>
      <c r="I8">
        <f>SUM(B8:H8)</f>
        <v>19.915768749999998</v>
      </c>
      <c r="K8">
        <v>2006</v>
      </c>
      <c r="L8">
        <f t="shared" ref="L8:R8" si="0">B8</f>
        <v>2.5725499999999997</v>
      </c>
      <c r="M8">
        <f t="shared" si="0"/>
        <v>5.4373999999999993</v>
      </c>
      <c r="N8">
        <f t="shared" si="0"/>
        <v>0.15971874999999999</v>
      </c>
      <c r="O8">
        <f t="shared" si="0"/>
        <v>3.0683750000000001</v>
      </c>
      <c r="P8">
        <f t="shared" si="0"/>
        <v>0.29475000000000001</v>
      </c>
      <c r="Q8">
        <f t="shared" si="0"/>
        <v>0.38297500000000001</v>
      </c>
      <c r="R8">
        <f t="shared" si="0"/>
        <v>8</v>
      </c>
      <c r="S8">
        <f>SUM(L8:R8)</f>
        <v>19.915768749999998</v>
      </c>
    </row>
    <row r="9" spans="1:19" x14ac:dyDescent="0.25">
      <c r="A9">
        <v>2007</v>
      </c>
      <c r="B9">
        <f>'Master Table 2006 2013'!D$6*'CH4 Emission factors'!$D$3*CropBurn!$F$10*0.000001</f>
        <v>2.4874499999999999</v>
      </c>
      <c r="C9">
        <f>'Master Table 2006 2013'!D$7*'CH4 Emission factors'!$D$4*CropBurn!$F$10*0.000001</f>
        <v>5.2812374999999996</v>
      </c>
      <c r="D9">
        <f>'Master Table 2006 2013'!D$17*'CH4 Emission factors'!$D$9*CropBurn!$F$10*0.000001</f>
        <v>0.14884375</v>
      </c>
      <c r="E9">
        <f>'Master Table 2006 2013'!D$12*'CH4 Emission factors'!$D$10*CropBurn!$F$10*0.000001</f>
        <v>3.1624999999999996</v>
      </c>
      <c r="F9">
        <f>'Master Table 2006 2013'!D$44*'CH4 Emission factors'!$D$11*CropBurn!$F$10*0.000001</f>
        <v>0.315</v>
      </c>
      <c r="G9">
        <f>'Master Table 2006 2013'!D$19*'CH4 Emission factors'!$D$14*CropBurn!$F$10*0.000001</f>
        <v>0.43532499999999996</v>
      </c>
      <c r="H9">
        <f>'Master Table 2006 2013'!D$46*'CH4 Emission factors'!$D$23*CropBurn!$F$10*0.000001</f>
        <v>8</v>
      </c>
      <c r="I9">
        <f t="shared" ref="I9:I23" si="1">SUM(B9:H9)</f>
        <v>19.830356250000001</v>
      </c>
      <c r="K9">
        <v>2007</v>
      </c>
      <c r="L9">
        <f t="shared" ref="L9:L15" si="2">B9</f>
        <v>2.4874499999999999</v>
      </c>
      <c r="M9">
        <f t="shared" ref="M9:M15" si="3">C9</f>
        <v>5.2812374999999996</v>
      </c>
      <c r="N9">
        <f t="shared" ref="N9:N15" si="4">D9</f>
        <v>0.14884375</v>
      </c>
      <c r="O9">
        <f t="shared" ref="O9:O15" si="5">E9</f>
        <v>3.1624999999999996</v>
      </c>
      <c r="P9">
        <f t="shared" ref="P9:P23" si="6">F9</f>
        <v>0.315</v>
      </c>
      <c r="Q9">
        <f t="shared" ref="Q9:Q15" si="7">G9</f>
        <v>0.43532499999999996</v>
      </c>
      <c r="R9">
        <f t="shared" ref="R9:R15" si="8">H9</f>
        <v>8</v>
      </c>
      <c r="S9">
        <f t="shared" ref="S9:S15" si="9">SUM(L9:R9)</f>
        <v>19.830356250000001</v>
      </c>
    </row>
    <row r="10" spans="1:19" x14ac:dyDescent="0.25">
      <c r="A10">
        <v>2008</v>
      </c>
      <c r="B10">
        <f>'Master Table 2006 2013'!E$6*'CH4 Emission factors'!$D$3*CropBurn!$F$10*0.000001</f>
        <v>2.8255499999999998</v>
      </c>
      <c r="C10">
        <f>'Master Table 2006 2013'!E$7*'CH4 Emission factors'!$D$4*CropBurn!$F$10*0.000001</f>
        <v>5.3996187500000001</v>
      </c>
      <c r="D10">
        <f>'Master Table 2006 2013'!E$17*'CH4 Emission factors'!$D$9*CropBurn!$F$10*0.000001</f>
        <v>0.20649999999999999</v>
      </c>
      <c r="E10">
        <f>'Master Table 2006 2013'!E$12*'CH4 Emission factors'!$D$10*CropBurn!$F$10*0.000001</f>
        <v>3.3246875</v>
      </c>
      <c r="F10">
        <f>'Master Table 2006 2013'!E$44*'CH4 Emission factors'!$D$11*CropBurn!$F$10*0.000001</f>
        <v>0.32624999999999998</v>
      </c>
      <c r="G10">
        <f>'Master Table 2006 2013'!E$19*'CH4 Emission factors'!$D$14*CropBurn!$F$10*0.000001</f>
        <v>0.16747499999999998</v>
      </c>
      <c r="H10">
        <f>'Master Table 2006 2013'!E$46*'CH4 Emission factors'!$D$23*CropBurn!$F$10*0.000001</f>
        <v>8</v>
      </c>
      <c r="I10">
        <f t="shared" si="1"/>
        <v>20.250081250000001</v>
      </c>
      <c r="K10">
        <v>2008</v>
      </c>
      <c r="L10">
        <f t="shared" si="2"/>
        <v>2.8255499999999998</v>
      </c>
      <c r="M10">
        <f t="shared" si="3"/>
        <v>5.3996187500000001</v>
      </c>
      <c r="N10">
        <f t="shared" si="4"/>
        <v>0.20649999999999999</v>
      </c>
      <c r="O10">
        <f t="shared" si="5"/>
        <v>3.3246875</v>
      </c>
      <c r="P10">
        <f t="shared" si="6"/>
        <v>0.32624999999999998</v>
      </c>
      <c r="Q10">
        <f t="shared" si="7"/>
        <v>0.16747499999999998</v>
      </c>
      <c r="R10">
        <f t="shared" si="8"/>
        <v>8</v>
      </c>
      <c r="S10">
        <f t="shared" si="9"/>
        <v>20.250081250000001</v>
      </c>
    </row>
    <row r="11" spans="1:19" x14ac:dyDescent="0.25">
      <c r="A11">
        <v>2009</v>
      </c>
      <c r="B11">
        <f>'Master Table 2006 2013'!F$6*'CH4 Emission factors'!$D$3*CropBurn!$F$10*0.000001</f>
        <v>2.6633999999999998</v>
      </c>
      <c r="C11">
        <f>'Master Table 2006 2013'!F$7*'CH4 Emission factors'!$D$4*CropBurn!$F$10*0.000001</f>
        <v>5.4292625000000001</v>
      </c>
      <c r="D11">
        <f>'Master Table 2006 2013'!F$17*'CH4 Emission factors'!$D$9*CropBurn!$F$10*0.000001</f>
        <v>0.26621875</v>
      </c>
      <c r="E11">
        <f>'Master Table 2006 2013'!F$12*'CH4 Emission factors'!$D$10*CropBurn!$F$10*0.000001</f>
        <v>3.33696875</v>
      </c>
      <c r="F11">
        <f>'Master Table 2006 2013'!F$44*'CH4 Emission factors'!$D$11*CropBurn!$F$10*0.000001</f>
        <v>0.33749999999999997</v>
      </c>
      <c r="G11">
        <f>'Master Table 2006 2013'!F$19*'CH4 Emission factors'!$D$14*CropBurn!$F$10*0.000001</f>
        <v>0.35269999999999996</v>
      </c>
      <c r="H11">
        <f>'Master Table 2006 2013'!F$46*'CH4 Emission factors'!$D$23*CropBurn!$F$10*0.000001</f>
        <v>8</v>
      </c>
      <c r="I11">
        <f t="shared" si="1"/>
        <v>20.386050000000001</v>
      </c>
      <c r="K11">
        <v>2009</v>
      </c>
      <c r="L11">
        <f t="shared" si="2"/>
        <v>2.6633999999999998</v>
      </c>
      <c r="M11">
        <f t="shared" si="3"/>
        <v>5.4292625000000001</v>
      </c>
      <c r="N11">
        <f t="shared" si="4"/>
        <v>0.26621875</v>
      </c>
      <c r="O11">
        <f t="shared" si="5"/>
        <v>3.33696875</v>
      </c>
      <c r="P11">
        <f t="shared" si="6"/>
        <v>0.33749999999999997</v>
      </c>
      <c r="Q11">
        <f t="shared" si="7"/>
        <v>0.35269999999999996</v>
      </c>
      <c r="R11">
        <f t="shared" si="8"/>
        <v>8</v>
      </c>
      <c r="S11">
        <f t="shared" si="9"/>
        <v>20.386050000000001</v>
      </c>
    </row>
    <row r="12" spans="1:19" x14ac:dyDescent="0.25">
      <c r="A12">
        <v>2010</v>
      </c>
      <c r="B12">
        <f>'Master Table 2006 2013'!G$6*'CH4 Emission factors'!$D$3*CropBurn!$F$10*0.000001</f>
        <v>3.0808499999999999</v>
      </c>
      <c r="C12">
        <f>'Master Table 2006 2013'!G$7*'CH4 Emission factors'!$D$4*CropBurn!$F$10*0.000001</f>
        <v>5.3054562499999998</v>
      </c>
      <c r="D12">
        <f>'Master Table 2006 2013'!G$17*'CH4 Emission factors'!$D$9*CropBurn!$F$10*0.000001</f>
        <v>0.26200000000000001</v>
      </c>
      <c r="E12">
        <f>'Master Table 2006 2013'!G$12*'CH4 Emission factors'!$D$10*CropBurn!$F$10*0.000001</f>
        <v>3.5334062499999996</v>
      </c>
      <c r="F12">
        <f>'Master Table 2006 2013'!G$44*'CH4 Emission factors'!$D$11*CropBurn!$F$10*0.000001</f>
        <v>0.34875</v>
      </c>
      <c r="G12">
        <f>'Master Table 2006 2013'!G$19*'CH4 Emission factors'!$D$14*CropBurn!$F$10*0.000001</f>
        <v>0.55817499999999998</v>
      </c>
      <c r="H12">
        <f>'Master Table 2006 2013'!G$46*'CH4 Emission factors'!$D$23*CropBurn!$F$10*0.000001</f>
        <v>8</v>
      </c>
      <c r="I12">
        <f t="shared" si="1"/>
        <v>21.088637500000001</v>
      </c>
      <c r="K12">
        <v>2010</v>
      </c>
      <c r="L12">
        <f t="shared" si="2"/>
        <v>3.0808499999999999</v>
      </c>
      <c r="M12">
        <f t="shared" si="3"/>
        <v>5.3054562499999998</v>
      </c>
      <c r="N12">
        <f t="shared" si="4"/>
        <v>0.26200000000000001</v>
      </c>
      <c r="O12">
        <f t="shared" si="5"/>
        <v>3.5334062499999996</v>
      </c>
      <c r="P12">
        <f t="shared" si="6"/>
        <v>0.34875</v>
      </c>
      <c r="Q12">
        <f t="shared" si="7"/>
        <v>0.55817499999999998</v>
      </c>
      <c r="R12">
        <f t="shared" si="8"/>
        <v>8</v>
      </c>
      <c r="S12">
        <f t="shared" si="9"/>
        <v>21.088637500000001</v>
      </c>
    </row>
    <row r="13" spans="1:19" x14ac:dyDescent="0.25">
      <c r="A13">
        <v>2011</v>
      </c>
      <c r="B13">
        <f>'Master Table 2006 2013'!H$6*'CH4 Emission factors'!$D$3*CropBurn!$F$10*0.000001</f>
        <v>2.9037500000000001</v>
      </c>
      <c r="C13">
        <f>'Master Table 2006 2013'!H$7*'CH4 Emission factors'!$D$4*CropBurn!$F$10*0.000001</f>
        <v>4.6426375000000002</v>
      </c>
      <c r="D13">
        <f>'Master Table 2006 2013'!H$17*'CH4 Emission factors'!$D$9*CropBurn!$F$10*0.000001</f>
        <v>0.24918749999999998</v>
      </c>
      <c r="E13">
        <f>'Master Table 2006 2013'!H$12*'CH4 Emission factors'!$D$10*CropBurn!$F$10*0.000001</f>
        <v>3.5354375</v>
      </c>
      <c r="F13">
        <f>'Master Table 2006 2013'!H$44*'CH4 Emission factors'!$D$11*CropBurn!$F$10*0.000001</f>
        <v>0.36</v>
      </c>
      <c r="G13">
        <f>'Master Table 2006 2013'!H$19*'CH4 Emission factors'!$D$14*CropBurn!$F$10*0.000001</f>
        <v>0.582125</v>
      </c>
      <c r="H13">
        <f>'Master Table 2006 2013'!H$46*'CH4 Emission factors'!$D$23*CropBurn!$F$10*0.000001</f>
        <v>8</v>
      </c>
      <c r="I13">
        <f t="shared" si="1"/>
        <v>20.273137499999997</v>
      </c>
      <c r="K13">
        <v>2011</v>
      </c>
      <c r="L13">
        <f t="shared" si="2"/>
        <v>2.9037500000000001</v>
      </c>
      <c r="M13">
        <f t="shared" si="3"/>
        <v>4.6426375000000002</v>
      </c>
      <c r="N13">
        <f t="shared" si="4"/>
        <v>0.24918749999999998</v>
      </c>
      <c r="O13">
        <f t="shared" si="5"/>
        <v>3.5354375</v>
      </c>
      <c r="P13">
        <f t="shared" si="6"/>
        <v>0.36</v>
      </c>
      <c r="Q13">
        <f t="shared" si="7"/>
        <v>0.582125</v>
      </c>
      <c r="R13">
        <f t="shared" si="8"/>
        <v>8</v>
      </c>
      <c r="S13">
        <f t="shared" si="9"/>
        <v>20.273137499999997</v>
      </c>
    </row>
    <row r="14" spans="1:19" x14ac:dyDescent="0.25">
      <c r="A14">
        <v>2012</v>
      </c>
      <c r="B14">
        <f>'Master Table 2006 2013'!I$6*'CH4 Emission factors'!$D$3*CropBurn!$F$10*0.000001</f>
        <v>3.4752999999999998</v>
      </c>
      <c r="C14">
        <f>'Master Table 2006 2013'!I$7*'CH4 Emission factors'!$D$4*CropBurn!$F$10*0.000001</f>
        <v>4.7269187499999994</v>
      </c>
      <c r="D14">
        <f>'Master Table 2006 2013'!I$17*'CH4 Emission factors'!$D$9*CropBurn!$F$10*0.000001</f>
        <v>0.28275</v>
      </c>
      <c r="E14">
        <f>'Master Table 2006 2013'!I$12*'CH4 Emission factors'!$D$10*CropBurn!$F$10*0.000001</f>
        <v>3.4410937499999998</v>
      </c>
      <c r="F14">
        <f>'Master Table 2006 2013'!I$44*'CH4 Emission factors'!$D$11*CropBurn!$F$10*0.000001</f>
        <v>0.37079999999999996</v>
      </c>
      <c r="G14">
        <f>'Master Table 2006 2013'!I$19*'CH4 Emission factors'!$D$14*CropBurn!$F$10*0.000001</f>
        <v>0.38217499999999999</v>
      </c>
      <c r="H14">
        <f>'Master Table 2006 2013'!I$46*'CH4 Emission factors'!$D$23*CropBurn!$F$10*0.000001</f>
        <v>8</v>
      </c>
      <c r="I14">
        <f t="shared" si="1"/>
        <v>20.6790375</v>
      </c>
      <c r="K14">
        <v>2012</v>
      </c>
      <c r="L14">
        <f t="shared" si="2"/>
        <v>3.4752999999999998</v>
      </c>
      <c r="M14">
        <f t="shared" si="3"/>
        <v>4.7269187499999994</v>
      </c>
      <c r="N14">
        <f t="shared" si="4"/>
        <v>0.28275</v>
      </c>
      <c r="O14">
        <f t="shared" si="5"/>
        <v>3.4410937499999998</v>
      </c>
      <c r="P14">
        <f t="shared" si="6"/>
        <v>0.37079999999999996</v>
      </c>
      <c r="Q14">
        <f t="shared" si="7"/>
        <v>0.38217499999999999</v>
      </c>
      <c r="R14">
        <f t="shared" si="8"/>
        <v>8</v>
      </c>
      <c r="S14">
        <f t="shared" si="9"/>
        <v>20.6790375</v>
      </c>
    </row>
    <row r="15" spans="1:19" x14ac:dyDescent="0.25">
      <c r="A15">
        <v>2013</v>
      </c>
      <c r="B15">
        <f>'Master Table 2006 2013'!J$6*'CH4 Emission factors'!$D$3*CropBurn!$F$10*0.000001</f>
        <v>3.3050999999999999</v>
      </c>
      <c r="C15">
        <f>'Master Table 2006 2013'!J$7*'CH4 Emission factors'!$D$4*CropBurn!$F$10*0.000001</f>
        <v>4.7486187499999994</v>
      </c>
      <c r="D15">
        <f>'Master Table 2006 2013'!J$17*'CH4 Emission factors'!$D$9*CropBurn!$F$10*0.000001</f>
        <v>0.31743749999999998</v>
      </c>
      <c r="E15">
        <f>'Master Table 2006 2013'!J$12*'CH4 Emission factors'!$D$10*CropBurn!$F$10*0.000001</f>
        <v>3.2415937499999998</v>
      </c>
      <c r="F15">
        <f>'Master Table 2006 2013'!J$44*'CH4 Emission factors'!$D$11*CropBurn!$F$10*0.000001</f>
        <v>0.38474999999999998</v>
      </c>
      <c r="G15">
        <f>'Master Table 2006 2013'!J$19*'CH4 Emission factors'!$D$14*CropBurn!$F$10*0.000001</f>
        <v>0.39902499999999996</v>
      </c>
      <c r="H15">
        <f>'Master Table 2006 2013'!J$46*'CH4 Emission factors'!$D$23*CropBurn!$F$10*0.000001</f>
        <v>8</v>
      </c>
      <c r="I15">
        <f t="shared" si="1"/>
        <v>20.396525</v>
      </c>
      <c r="K15">
        <v>2013</v>
      </c>
      <c r="L15">
        <f t="shared" si="2"/>
        <v>3.3050999999999999</v>
      </c>
      <c r="M15">
        <f t="shared" si="3"/>
        <v>4.7486187499999994</v>
      </c>
      <c r="N15">
        <f t="shared" si="4"/>
        <v>0.31743749999999998</v>
      </c>
      <c r="O15">
        <f t="shared" si="5"/>
        <v>3.2415937499999998</v>
      </c>
      <c r="P15">
        <f t="shared" si="6"/>
        <v>0.38474999999999998</v>
      </c>
      <c r="Q15">
        <f t="shared" si="7"/>
        <v>0.39902499999999996</v>
      </c>
      <c r="R15">
        <f t="shared" si="8"/>
        <v>8</v>
      </c>
      <c r="S15">
        <f t="shared" si="9"/>
        <v>20.396525</v>
      </c>
    </row>
    <row r="16" spans="1:19" x14ac:dyDescent="0.25">
      <c r="A16">
        <v>2015</v>
      </c>
      <c r="B16">
        <f>LStock_Heads!F$27*'CH4 Emission factors'!$D$3*CropBurn!$F$10*0.000001</f>
        <v>3.335</v>
      </c>
      <c r="C16">
        <f>LStock_Heads!F$28*'CH4 Emission factors'!$D$4*CropBurn!$F$10*0.000001</f>
        <v>4.7275</v>
      </c>
      <c r="D16">
        <f>LStock_Heads!F$31*'CH4 Emission factors'!$D$9*CropBurn!$F$10*0.000001</f>
        <v>0.32500000000000001</v>
      </c>
      <c r="E16">
        <f>LStock_Heads!F$30*'CH4 Emission factors'!$D$10*CropBurn!$F$10*0.000001</f>
        <v>3.25</v>
      </c>
      <c r="F16">
        <f>'Master Table 2006 2013'!J$44*'CH4 Emission factors'!$D$11*CropBurn!$F$10*0.000001</f>
        <v>0.38474999999999998</v>
      </c>
      <c r="G16">
        <f>LStock_Heads!F$36*'CH4 Emission factors'!$D$14*CropBurn!$F$10*0.000001</f>
        <v>0.52500000000000002</v>
      </c>
      <c r="H16">
        <f>LStock_Heads!F$37*'CH4 Emission factors'!$D$23*CropBurn!$F$10*0.000001</f>
        <v>8</v>
      </c>
      <c r="I16">
        <f t="shared" si="1"/>
        <v>20.547249999999998</v>
      </c>
      <c r="K16">
        <f>A16</f>
        <v>2015</v>
      </c>
      <c r="L16">
        <f>LStock_Heads!F$5*'CH4 Emission factors'!$D$3*CropBurn!$F$10*0.000001</f>
        <v>3.335</v>
      </c>
      <c r="M16">
        <f>LStock_Heads!F$6*'CH4 Emission factors'!$D$4*CropBurn!$F$10*0.000001</f>
        <v>4.7275</v>
      </c>
      <c r="N16">
        <f>LStock_Heads!F$9*'CH4 Emission factors'!$D$9*CropBurn!$F$10*0.000001</f>
        <v>0.32500000000000001</v>
      </c>
      <c r="O16">
        <f>LStock_Heads!F$8*'CH4 Emission factors'!$D$10*CropBurn!$F$10*0.000001</f>
        <v>3.25</v>
      </c>
      <c r="P16">
        <f t="shared" si="6"/>
        <v>0.38474999999999998</v>
      </c>
      <c r="Q16">
        <f>LStock_Heads!F$14*'CH4 Emission factors'!$D$14*CropBurn!$F$10*0.000001</f>
        <v>0.52500000000000002</v>
      </c>
      <c r="R16">
        <f>LStock_Heads!F$15*'CH4 Emission factors'!$D$23*CropBurn!$F$10*0.000001</f>
        <v>8</v>
      </c>
      <c r="S16">
        <f>SUM(L16:R16)</f>
        <v>20.547249999999998</v>
      </c>
    </row>
    <row r="17" spans="1:19" x14ac:dyDescent="0.25">
      <c r="A17">
        <v>2020</v>
      </c>
      <c r="B17">
        <f>LStock_Heads!G$27*'CH4 Emission factors'!$D$3*CropBurn!$F$10*0.000001</f>
        <v>3.105</v>
      </c>
      <c r="C17">
        <f>LStock_Heads!G$28*'CH4 Emission factors'!$D$4*CropBurn!$F$10*0.000001</f>
        <v>4.4950000000000001</v>
      </c>
      <c r="D17">
        <f>LStock_Heads!G$31*'CH4 Emission factors'!$D$9*CropBurn!$F$10*0.000001</f>
        <v>0.33749999999999997</v>
      </c>
      <c r="E17">
        <f>LStock_Heads!G$30*'CH4 Emission factors'!$D$10*CropBurn!$F$10*0.000001</f>
        <v>3.1875</v>
      </c>
      <c r="F17">
        <f>'Master Table 2006 2013'!J$44*'CH4 Emission factors'!$D$11*CropBurn!$F$10*0.000001</f>
        <v>0.38474999999999998</v>
      </c>
      <c r="G17">
        <f>LStock_Heads!G$36*'CH4 Emission factors'!$D$14*CropBurn!$F$10*0.000001</f>
        <v>0.54999999999999993</v>
      </c>
      <c r="H17">
        <f>LStock_Heads!G$37*'CH4 Emission factors'!$D$23*CropBurn!$F$10*0.000001</f>
        <v>7.5</v>
      </c>
      <c r="I17">
        <f t="shared" si="1"/>
        <v>19.559750000000001</v>
      </c>
      <c r="K17">
        <f t="shared" ref="K17:K23" si="10">A17</f>
        <v>2020</v>
      </c>
      <c r="L17">
        <f>LStock_Heads!G$5*'CH4 Emission factors'!$D$3*CropBurn!$F$10*0.000001</f>
        <v>3.4499999999999997</v>
      </c>
      <c r="M17">
        <f>LStock_Heads!G$6*'CH4 Emission factors'!$D$4*CropBurn!$F$10*0.000001</f>
        <v>4.8824999999999994</v>
      </c>
      <c r="N17">
        <f>LStock_Heads!G$9*'CH4 Emission factors'!$D$9*CropBurn!$F$10*0.000001</f>
        <v>0.375</v>
      </c>
      <c r="O17">
        <f>LStock_Heads!G$8*'CH4 Emission factors'!$D$10*CropBurn!$F$10*0.000001</f>
        <v>3.3374999999999999</v>
      </c>
      <c r="P17">
        <f t="shared" si="6"/>
        <v>0.38474999999999998</v>
      </c>
      <c r="Q17">
        <f>LStock_Heads!G$14*'CH4 Emission factors'!$D$14*CropBurn!$F$10*0.000001</f>
        <v>0.54999999999999993</v>
      </c>
      <c r="R17">
        <f>LStock_Heads!G$15*'CH4 Emission factors'!$D$23*CropBurn!$F$10*0.000001</f>
        <v>8.5</v>
      </c>
      <c r="S17">
        <f t="shared" ref="S17:S23" si="11">SUM(L17:R17)</f>
        <v>21.479750000000003</v>
      </c>
    </row>
    <row r="18" spans="1:19" x14ac:dyDescent="0.25">
      <c r="A18">
        <v>2025</v>
      </c>
      <c r="B18">
        <f>LStock_Heads!H$27*'CH4 Emission factors'!$D$3*CropBurn!$F$10*0.000001</f>
        <v>2.875</v>
      </c>
      <c r="C18">
        <f>LStock_Heads!H$28*'CH4 Emission factors'!$D$4*CropBurn!$F$10*0.000001</f>
        <v>4.34</v>
      </c>
      <c r="D18">
        <f>LStock_Heads!H$31*'CH4 Emission factors'!$D$9*CropBurn!$F$10*0.000001</f>
        <v>0.33749999999999997</v>
      </c>
      <c r="E18">
        <f>LStock_Heads!H$30*'CH4 Emission factors'!$D$10*CropBurn!$F$10*0.000001</f>
        <v>3.1875</v>
      </c>
      <c r="F18">
        <f>'Master Table 2006 2013'!J$44*'CH4 Emission factors'!$D$11*CropBurn!$F$10*0.000001</f>
        <v>0.38474999999999998</v>
      </c>
      <c r="G18">
        <f>LStock_Heads!H$36*'CH4 Emission factors'!$D$14*CropBurn!$F$10*0.000001</f>
        <v>0.54999999999999993</v>
      </c>
      <c r="H18">
        <f>LStock_Heads!H$37*'CH4 Emission factors'!$D$23*CropBurn!$F$10*0.000001</f>
        <v>7.5</v>
      </c>
      <c r="I18">
        <f t="shared" si="1"/>
        <v>19.174750000000003</v>
      </c>
      <c r="K18">
        <f t="shared" si="10"/>
        <v>2025</v>
      </c>
      <c r="L18">
        <f>LStock_Heads!H$5*'CH4 Emission factors'!$D$3*CropBurn!$F$10*0.000001</f>
        <v>3.6799999999999997</v>
      </c>
      <c r="M18">
        <f>LStock_Heads!H$6*'CH4 Emission factors'!$D$4*CropBurn!$F$10*0.000001</f>
        <v>5.2080000000000002</v>
      </c>
      <c r="N18">
        <f>LStock_Heads!H$9*'CH4 Emission factors'!$D$9*CropBurn!$F$10*0.000001</f>
        <v>0.4375</v>
      </c>
      <c r="O18">
        <f>LStock_Heads!H$8*'CH4 Emission factors'!$D$10*CropBurn!$F$10*0.000001</f>
        <v>3.5</v>
      </c>
      <c r="P18">
        <f t="shared" si="6"/>
        <v>0.38474999999999998</v>
      </c>
      <c r="Q18">
        <f>LStock_Heads!H$14*'CH4 Emission factors'!$D$14*CropBurn!$F$10*0.000001</f>
        <v>0.57499999999999996</v>
      </c>
      <c r="R18">
        <f>LStock_Heads!H$15*'CH4 Emission factors'!$D$23*CropBurn!$F$10*0.000001</f>
        <v>8.75</v>
      </c>
      <c r="S18">
        <f t="shared" si="11"/>
        <v>22.535249999999998</v>
      </c>
    </row>
    <row r="19" spans="1:19" x14ac:dyDescent="0.25">
      <c r="A19">
        <v>2030</v>
      </c>
      <c r="B19">
        <f>LStock_Heads!I$27*'CH4 Emission factors'!$D$3*CropBurn!$F$10*0.000001</f>
        <v>2.76</v>
      </c>
      <c r="C19">
        <f>LStock_Heads!I$28*'CH4 Emission factors'!$D$4*CropBurn!$F$10*0.000001</f>
        <v>4.2625000000000002</v>
      </c>
      <c r="D19">
        <f>LStock_Heads!I$31*'CH4 Emission factors'!$D$9*CropBurn!$F$10*0.000001</f>
        <v>0.35</v>
      </c>
      <c r="E19">
        <f>LStock_Heads!I$30*'CH4 Emission factors'!$D$10*CropBurn!$F$10*0.000001</f>
        <v>3.125</v>
      </c>
      <c r="F19">
        <f>'Master Table 2006 2013'!J$44*'CH4 Emission factors'!$D$11*CropBurn!$F$10*0.000001</f>
        <v>0.38474999999999998</v>
      </c>
      <c r="G19">
        <f>LStock_Heads!I$36*'CH4 Emission factors'!$D$14*CropBurn!$F$10*0.000001</f>
        <v>0.5625</v>
      </c>
      <c r="H19">
        <f>LStock_Heads!I$37*'CH4 Emission factors'!$D$23*CropBurn!$F$10*0.000001</f>
        <v>7.625</v>
      </c>
      <c r="I19">
        <f t="shared" si="1"/>
        <v>19.069749999999999</v>
      </c>
      <c r="K19">
        <f t="shared" si="10"/>
        <v>2030</v>
      </c>
      <c r="L19">
        <f>LStock_Heads!I$5*'CH4 Emission factors'!$D$3*CropBurn!$F$10*0.000001</f>
        <v>3.9099999999999997</v>
      </c>
      <c r="M19">
        <f>LStock_Heads!I$6*'CH4 Emission factors'!$D$4*CropBurn!$F$10*0.000001</f>
        <v>5.5335000000000001</v>
      </c>
      <c r="N19">
        <f>LStock_Heads!I$9*'CH4 Emission factors'!$D$9*CropBurn!$F$10*0.000001</f>
        <v>0.5</v>
      </c>
      <c r="O19">
        <f>LStock_Heads!I$8*'CH4 Emission factors'!$D$10*CropBurn!$F$10*0.000001</f>
        <v>3.75</v>
      </c>
      <c r="P19">
        <f t="shared" si="6"/>
        <v>0.38474999999999998</v>
      </c>
      <c r="Q19">
        <f>LStock_Heads!I$14*'CH4 Emission factors'!$D$14*CropBurn!$F$10*0.000001</f>
        <v>0.6</v>
      </c>
      <c r="R19">
        <f>LStock_Heads!I$15*'CH4 Emission factors'!$D$23*CropBurn!$F$10*0.000001</f>
        <v>9</v>
      </c>
      <c r="S19">
        <f t="shared" si="11"/>
        <v>23.678249999999998</v>
      </c>
    </row>
    <row r="20" spans="1:19" x14ac:dyDescent="0.25">
      <c r="A20">
        <v>2035</v>
      </c>
      <c r="B20">
        <f>LStock_Heads!J$27*'CH4 Emission factors'!$D$3*CropBurn!$F$10*0.000001</f>
        <v>2.76</v>
      </c>
      <c r="C20">
        <f>LStock_Heads!J$28*'CH4 Emission factors'!$D$4*CropBurn!$F$10*0.000001</f>
        <v>4.2625000000000002</v>
      </c>
      <c r="D20">
        <f>LStock_Heads!J$31*'CH4 Emission factors'!$D$9*CropBurn!$F$10*0.000001</f>
        <v>0.36249999999999999</v>
      </c>
      <c r="E20">
        <f>LStock_Heads!J$30*'CH4 Emission factors'!$D$10*CropBurn!$F$10*0.000001</f>
        <v>3.125</v>
      </c>
      <c r="F20">
        <f>'Master Table 2006 2013'!J$44*'CH4 Emission factors'!$D$11*CropBurn!$F$10*0.000001</f>
        <v>0.38474999999999998</v>
      </c>
      <c r="G20">
        <f>LStock_Heads!J$36*'CH4 Emission factors'!$D$14*CropBurn!$F$10*0.000001</f>
        <v>0.56874999999999998</v>
      </c>
      <c r="H20">
        <f>LStock_Heads!J$37*'CH4 Emission factors'!$D$23*CropBurn!$F$10*0.000001</f>
        <v>7.6749999999999998</v>
      </c>
      <c r="I20">
        <f t="shared" si="1"/>
        <v>19.138500000000001</v>
      </c>
      <c r="K20">
        <f t="shared" si="10"/>
        <v>2035</v>
      </c>
      <c r="L20">
        <f>LStock_Heads!J$5*'CH4 Emission factors'!$D$3*CropBurn!$F$10*0.000001</f>
        <v>4.2549999999999999</v>
      </c>
      <c r="M20">
        <f>LStock_Heads!J$6*'CH4 Emission factors'!$D$4*CropBurn!$F$10*0.000001</f>
        <v>5.8667499999999997</v>
      </c>
      <c r="N20">
        <f>LStock_Heads!J$9*'CH4 Emission factors'!$D$9*CropBurn!$F$10*0.000001</f>
        <v>0.625</v>
      </c>
      <c r="O20">
        <f>LStock_Heads!J$8*'CH4 Emission factors'!$D$10*CropBurn!$F$10*0.000001</f>
        <v>4.0625</v>
      </c>
      <c r="P20">
        <f t="shared" si="6"/>
        <v>0.38474999999999998</v>
      </c>
      <c r="Q20">
        <f>LStock_Heads!J$14*'CH4 Emission factors'!$D$14*CropBurn!$F$10*0.000001</f>
        <v>0.67499999999999993</v>
      </c>
      <c r="R20">
        <f>LStock_Heads!J$15*'CH4 Emission factors'!$D$23*CropBurn!$F$10*0.000001</f>
        <v>9.5</v>
      </c>
      <c r="S20">
        <f t="shared" si="11"/>
        <v>25.369</v>
      </c>
    </row>
    <row r="21" spans="1:19" x14ac:dyDescent="0.25">
      <c r="A21">
        <v>2040</v>
      </c>
      <c r="B21">
        <f>LStock_Heads!K$27*'CH4 Emission factors'!$D$3*CropBurn!$F$10*0.000001</f>
        <v>2.76</v>
      </c>
      <c r="C21">
        <f>LStock_Heads!K$28*'CH4 Emission factors'!$D$4*CropBurn!$F$10*0.000001</f>
        <v>4.2625000000000002</v>
      </c>
      <c r="D21">
        <f>LStock_Heads!K$31*'CH4 Emission factors'!$D$9*CropBurn!$F$10*0.000001</f>
        <v>0.375</v>
      </c>
      <c r="E21">
        <f>LStock_Heads!K$30*'CH4 Emission factors'!$D$10*CropBurn!$F$10*0.000001</f>
        <v>3.125</v>
      </c>
      <c r="F21">
        <f>'Master Table 2006 2013'!J$44*'CH4 Emission factors'!$D$11*CropBurn!$F$10*0.000001</f>
        <v>0.38474999999999998</v>
      </c>
      <c r="G21">
        <f>LStock_Heads!K$36*'CH4 Emission factors'!$D$14*CropBurn!$F$10*0.000001</f>
        <v>0.57499999999999996</v>
      </c>
      <c r="H21">
        <f>LStock_Heads!K$37*'CH4 Emission factors'!$D$23*CropBurn!$F$10*0.000001</f>
        <v>7.75</v>
      </c>
      <c r="I21">
        <f t="shared" si="1"/>
        <v>19.232250000000001</v>
      </c>
      <c r="K21">
        <f t="shared" si="10"/>
        <v>2040</v>
      </c>
      <c r="L21">
        <f>LStock_Heads!K$5*'CH4 Emission factors'!$D$3*CropBurn!$F$10*0.000001</f>
        <v>4.5999999999999996</v>
      </c>
      <c r="M21">
        <f>LStock_Heads!K$6*'CH4 Emission factors'!$D$4*CropBurn!$F$10*0.000001</f>
        <v>6.1999999999999993</v>
      </c>
      <c r="N21">
        <f>LStock_Heads!K$9*'CH4 Emission factors'!$D$9*CropBurn!$F$10*0.000001</f>
        <v>0.75</v>
      </c>
      <c r="O21">
        <f>LStock_Heads!K$8*'CH4 Emission factors'!$D$10*CropBurn!$F$10*0.000001</f>
        <v>4.375</v>
      </c>
      <c r="P21">
        <f t="shared" si="6"/>
        <v>0.38474999999999998</v>
      </c>
      <c r="Q21">
        <f>LStock_Heads!K$14*'CH4 Emission factors'!$D$14*CropBurn!$F$10*0.000001</f>
        <v>0.75</v>
      </c>
      <c r="R21">
        <f>LStock_Heads!K$15*'CH4 Emission factors'!$D$23*CropBurn!$F$10*0.000001</f>
        <v>10</v>
      </c>
      <c r="S21">
        <f t="shared" si="11"/>
        <v>27.059749999999998</v>
      </c>
    </row>
    <row r="22" spans="1:19" x14ac:dyDescent="0.25">
      <c r="A22">
        <v>2045</v>
      </c>
      <c r="B22">
        <f>LStock_Heads!L$27*'CH4 Emission factors'!$D$3*CropBurn!$F$10*0.000001</f>
        <v>2.7887499999999998</v>
      </c>
      <c r="C22">
        <f>LStock_Heads!L$28*'CH4 Emission factors'!$D$4*CropBurn!$F$10*0.000001</f>
        <v>4.2741249999999997</v>
      </c>
      <c r="D22">
        <f>LStock_Heads!L$31*'CH4 Emission factors'!$D$9*CropBurn!$F$10*0.000001</f>
        <v>0.375</v>
      </c>
      <c r="E22">
        <f>LStock_Heads!L$30*'CH4 Emission factors'!$D$10*CropBurn!$F$10*0.000001</f>
        <v>3.1124999999999998</v>
      </c>
      <c r="F22">
        <f>'Master Table 2006 2013'!J$44*'CH4 Emission factors'!$D$11*CropBurn!$F$10*0.000001</f>
        <v>0.38474999999999998</v>
      </c>
      <c r="G22">
        <f>LStock_Heads!L$36*'CH4 Emission factors'!$D$14*CropBurn!$F$10*0.000001</f>
        <v>0.57499999999999996</v>
      </c>
      <c r="H22">
        <f>LStock_Heads!L$37*'CH4 Emission factors'!$D$23*CropBurn!$F$10*0.000001</f>
        <v>7.875</v>
      </c>
      <c r="I22">
        <f t="shared" si="1"/>
        <v>19.385124999999999</v>
      </c>
      <c r="K22">
        <f t="shared" si="10"/>
        <v>2045</v>
      </c>
      <c r="L22">
        <f>LStock_Heads!L$5*'CH4 Emission factors'!$D$3*CropBurn!$F$10*0.000001</f>
        <v>4.8875000000000002</v>
      </c>
      <c r="M22">
        <f>LStock_Heads!L$6*'CH4 Emission factors'!$D$4*CropBurn!$F$10*0.000001</f>
        <v>6.5874999999999995</v>
      </c>
      <c r="N22">
        <f>LStock_Heads!L$9*'CH4 Emission factors'!$D$9*CropBurn!$F$10*0.000001</f>
        <v>0.875</v>
      </c>
      <c r="O22">
        <f>LStock_Heads!L$8*'CH4 Emission factors'!$D$10*CropBurn!$F$10*0.000001</f>
        <v>4.6875</v>
      </c>
      <c r="P22">
        <f t="shared" si="6"/>
        <v>0.38474999999999998</v>
      </c>
      <c r="Q22">
        <f>LStock_Heads!L$14*'CH4 Emission factors'!$D$14*CropBurn!$F$10*0.000001</f>
        <v>0.8125</v>
      </c>
      <c r="R22">
        <f>LStock_Heads!L$15*'CH4 Emission factors'!$D$23*CropBurn!$F$10*0.000001</f>
        <v>10.5</v>
      </c>
      <c r="S22">
        <f t="shared" si="11"/>
        <v>28.734750000000002</v>
      </c>
    </row>
    <row r="23" spans="1:19" x14ac:dyDescent="0.25">
      <c r="A23">
        <v>2050</v>
      </c>
      <c r="B23">
        <f>LStock_Heads!M$27*'CH4 Emission factors'!$D$3*CropBurn!$F$10*0.000001</f>
        <v>2.8174999999999999</v>
      </c>
      <c r="C23">
        <f>LStock_Heads!M$28*'CH4 Emission factors'!$D$4*CropBurn!$F$10*0.000001</f>
        <v>4.2857500000000002</v>
      </c>
      <c r="D23">
        <f>LStock_Heads!M$31*'CH4 Emission factors'!$D$9*CropBurn!$F$10*0.000001</f>
        <v>0.375</v>
      </c>
      <c r="E23">
        <f>LStock_Heads!M$30*'CH4 Emission factors'!$D$10*CropBurn!$F$10*0.000001</f>
        <v>3.0999999999999996</v>
      </c>
      <c r="F23">
        <f>'Master Table 2006 2013'!J$44*'CH4 Emission factors'!$D$11*CropBurn!$F$10*0.000001</f>
        <v>0.38474999999999998</v>
      </c>
      <c r="G23">
        <f>LStock_Heads!M$36*'CH4 Emission factors'!$D$14*CropBurn!$F$10*0.000001</f>
        <v>0.57499999999999996</v>
      </c>
      <c r="H23">
        <f>LStock_Heads!M$37*'CH4 Emission factors'!$D$23*CropBurn!$F$10*0.000001</f>
        <v>8</v>
      </c>
      <c r="I23">
        <f t="shared" si="1"/>
        <v>19.538</v>
      </c>
      <c r="K23">
        <f t="shared" si="10"/>
        <v>2050</v>
      </c>
      <c r="L23">
        <f>LStock_Heads!M$5*'CH4 Emission factors'!$D$3*CropBurn!$F$10*0.000001</f>
        <v>5.1749999999999998</v>
      </c>
      <c r="M23">
        <f>LStock_Heads!M$6*'CH4 Emission factors'!$D$4*CropBurn!$F$10*0.000001</f>
        <v>6.9749999999999996</v>
      </c>
      <c r="N23">
        <f>LStock_Heads!M$9*'CH4 Emission factors'!$D$9*CropBurn!$F$10*0.000001</f>
        <v>1</v>
      </c>
      <c r="O23">
        <f>LStock_Heads!M$8*'CH4 Emission factors'!$D$10*CropBurn!$F$10*0.000001</f>
        <v>5</v>
      </c>
      <c r="P23">
        <f t="shared" si="6"/>
        <v>0.38474999999999998</v>
      </c>
      <c r="Q23">
        <f>LStock_Heads!M$14*'CH4 Emission factors'!$D$14*CropBurn!$F$10*0.000001</f>
        <v>0.875</v>
      </c>
      <c r="R23">
        <f>LStock_Heads!M$15*'CH4 Emission factors'!$D$23*CropBurn!$F$10*0.000001</f>
        <v>11</v>
      </c>
      <c r="S23">
        <f t="shared" si="11"/>
        <v>30.409749999999999</v>
      </c>
    </row>
  </sheetData>
  <mergeCells count="2">
    <mergeCell ref="B6:I6"/>
    <mergeCell ref="K6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J2" workbookViewId="0">
      <selection activeCell="C20" sqref="C20"/>
    </sheetView>
  </sheetViews>
  <sheetFormatPr defaultRowHeight="15" x14ac:dyDescent="0.25"/>
  <sheetData>
    <row r="1" spans="1:22" x14ac:dyDescent="0.25">
      <c r="A1" s="4" t="s">
        <v>219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x14ac:dyDescent="0.25">
      <c r="A2" s="4" t="s">
        <v>220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2" x14ac:dyDescent="0.25">
      <c r="A3" s="4" t="s">
        <v>221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5" spans="1:22" x14ac:dyDescent="0.25">
      <c r="A5" s="5" t="s">
        <v>253</v>
      </c>
      <c r="B5" s="5"/>
      <c r="C5" s="5"/>
      <c r="D5" s="5"/>
      <c r="E5" s="5"/>
      <c r="F5" s="86"/>
      <c r="G5" s="86"/>
      <c r="H5" s="86"/>
    </row>
    <row r="7" spans="1:22" x14ac:dyDescent="0.25">
      <c r="B7" s="191" t="s">
        <v>371</v>
      </c>
      <c r="C7" s="191"/>
      <c r="D7" s="191"/>
      <c r="E7" s="191"/>
      <c r="F7" s="191"/>
      <c r="G7" s="191"/>
      <c r="H7" s="191"/>
      <c r="I7" s="191"/>
      <c r="N7" s="200" t="s">
        <v>372</v>
      </c>
      <c r="O7" s="200"/>
      <c r="P7" s="200"/>
      <c r="Q7" s="200"/>
      <c r="R7" s="200"/>
      <c r="S7" s="200"/>
      <c r="T7" s="200"/>
      <c r="U7" s="200"/>
    </row>
    <row r="8" spans="1:22" ht="30" x14ac:dyDescent="0.25">
      <c r="A8" s="3" t="s">
        <v>0</v>
      </c>
      <c r="B8" s="3" t="s">
        <v>211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217</v>
      </c>
      <c r="H8" s="3" t="s">
        <v>222</v>
      </c>
      <c r="I8" s="3" t="s">
        <v>218</v>
      </c>
      <c r="J8" s="3" t="s">
        <v>131</v>
      </c>
      <c r="L8" s="3"/>
      <c r="M8" s="3" t="s">
        <v>0</v>
      </c>
      <c r="N8" s="3" t="s">
        <v>211</v>
      </c>
      <c r="O8" s="3" t="s">
        <v>213</v>
      </c>
      <c r="P8" s="3" t="s">
        <v>214</v>
      </c>
      <c r="Q8" s="3" t="s">
        <v>215</v>
      </c>
      <c r="R8" s="3" t="s">
        <v>216</v>
      </c>
      <c r="S8" s="3" t="s">
        <v>217</v>
      </c>
      <c r="T8" s="3" t="s">
        <v>222</v>
      </c>
      <c r="U8" s="3" t="s">
        <v>218</v>
      </c>
      <c r="V8" s="3" t="s">
        <v>131</v>
      </c>
    </row>
    <row r="9" spans="1:22" x14ac:dyDescent="0.25">
      <c r="A9">
        <v>2006</v>
      </c>
      <c r="B9" s="87">
        <f>'Master Table 2006 2013'!C$6*'CH4 Emission factors'!$E$3*CropBurn!$F$10*0.000001</f>
        <v>5.5924999999999996E-2</v>
      </c>
      <c r="C9" s="87">
        <f>'Master Table 2006 2013'!C$7*'CH4 Emission factors'!$E$4*CropBurn!$F$10*0.000001</f>
        <v>0.1754</v>
      </c>
      <c r="D9" s="87">
        <f>'Master Table 2006 2013'!C$17*'CH4 Emission factors'!$E$9*CropBurn!$F$10*0.000001</f>
        <v>4.7915624999999998E-3</v>
      </c>
      <c r="E9" s="87">
        <f>'Master Table 2006 2013'!C$12*'CH4 Emission factors'!$E$10*CropBurn!$F$10*0.000001</f>
        <v>0.10432475000000001</v>
      </c>
      <c r="F9" s="87">
        <f>'Master Table 2006 2013'!C$44*'CH4 Emission factors'!$E$11*CropBurn!$F$10*0.000001</f>
        <v>2.6855E-2</v>
      </c>
      <c r="G9" s="87">
        <f>'Master Table 2006 2013'!C$19*'CH4 Emission factors'!$E$14*CropBurn!$F$10*0.000001</f>
        <v>0.38297500000000001</v>
      </c>
      <c r="H9" s="87">
        <f>(('Master Table 2006 2013'!C$25*'CH4 Emission factors'!$E$18)+(('Master Table 2006 2013'!C$26+'Master Table 2006 2013'!C$40+'Master Table 2006 2013'!C$32)*'CH4 Emission factors'!$E$20))*CropBurn!$F$10*0.000001</f>
        <v>2.6355604166666664</v>
      </c>
      <c r="I9" s="87">
        <f>'Master Table 2006 2013'!C$46*'CH4 Emission factors'!$E$23*CropBurn!$F$10*0.000001</f>
        <v>8.7999999999999995E-2</v>
      </c>
      <c r="J9" s="87">
        <f>SUM(B9:I9)</f>
        <v>3.4738317291666663</v>
      </c>
      <c r="M9">
        <f t="shared" ref="M9:U9" si="0">A9</f>
        <v>2006</v>
      </c>
      <c r="N9" s="87">
        <f t="shared" si="0"/>
        <v>5.5924999999999996E-2</v>
      </c>
      <c r="O9" s="87">
        <f t="shared" si="0"/>
        <v>0.1754</v>
      </c>
      <c r="P9" s="87">
        <f t="shared" si="0"/>
        <v>4.7915624999999998E-3</v>
      </c>
      <c r="Q9" s="87">
        <f t="shared" si="0"/>
        <v>0.10432475000000001</v>
      </c>
      <c r="R9" s="87">
        <f t="shared" si="0"/>
        <v>2.6855E-2</v>
      </c>
      <c r="S9" s="87">
        <f t="shared" si="0"/>
        <v>0.38297500000000001</v>
      </c>
      <c r="T9" s="87">
        <f t="shared" si="0"/>
        <v>2.6355604166666664</v>
      </c>
      <c r="U9" s="87">
        <f t="shared" si="0"/>
        <v>8.7999999999999995E-2</v>
      </c>
      <c r="V9" s="87">
        <f>SUM(N9:U9)</f>
        <v>3.4738317291666663</v>
      </c>
    </row>
    <row r="10" spans="1:22" x14ac:dyDescent="0.25">
      <c r="A10">
        <v>2007</v>
      </c>
      <c r="B10" s="87">
        <f>'Master Table 2006 2013'!D$6*'CH4 Emission factors'!$E$3*CropBurn!$F$10*0.000001</f>
        <v>5.4074999999999998E-2</v>
      </c>
      <c r="C10" s="87">
        <f>'Master Table 2006 2013'!D$7*'CH4 Emission factors'!$E$4*CropBurn!$F$10*0.000001</f>
        <v>0.1703625</v>
      </c>
      <c r="D10" s="87">
        <f>'Master Table 2006 2013'!D$17*'CH4 Emission factors'!$E$9*CropBurn!$F$10*0.000001</f>
        <v>4.4653124999999997E-3</v>
      </c>
      <c r="E10" s="87">
        <f>'Master Table 2006 2013'!D$12*'CH4 Emission factors'!$E$10*CropBurn!$F$10*0.000001</f>
        <v>0.107525</v>
      </c>
      <c r="F10" s="87">
        <f>'Master Table 2006 2013'!D$44*'CH4 Emission factors'!$E$11*CropBurn!$F$10*0.000001</f>
        <v>2.87E-2</v>
      </c>
      <c r="G10" s="87">
        <f>'Master Table 2006 2013'!D$19*'CH4 Emission factors'!$E$14*CropBurn!$F$10*0.000001</f>
        <v>0.43532499999999996</v>
      </c>
      <c r="H10" s="87">
        <f>(('Master Table 2006 2013'!D$25*'CH4 Emission factors'!$E$18)+(('Master Table 2006 2013'!D$26+'Master Table 2006 2013'!D$40+'Master Table 2006 2013'!D$32)*'CH4 Emission factors'!$E$20))*CropBurn!$F$10*0.000001</f>
        <v>2.8318285694444443</v>
      </c>
      <c r="I10" s="87">
        <f>'Master Table 2006 2013'!D$46*'CH4 Emission factors'!$E$23*CropBurn!$F$10*0.000001</f>
        <v>8.7999999999999995E-2</v>
      </c>
      <c r="J10" s="87">
        <f t="shared" ref="J10:J24" si="1">SUM(B10:I10)</f>
        <v>3.7202813819444445</v>
      </c>
      <c r="M10">
        <f t="shared" ref="M10:M24" si="2">A10</f>
        <v>2007</v>
      </c>
      <c r="N10" s="87">
        <f t="shared" ref="N10:N16" si="3">B10</f>
        <v>5.4074999999999998E-2</v>
      </c>
      <c r="O10" s="87">
        <f t="shared" ref="O10:O16" si="4">C10</f>
        <v>0.1703625</v>
      </c>
      <c r="P10" s="87">
        <f t="shared" ref="P10:P16" si="5">D10</f>
        <v>4.4653124999999997E-3</v>
      </c>
      <c r="Q10" s="87">
        <f t="shared" ref="Q10:Q16" si="6">E10</f>
        <v>0.107525</v>
      </c>
      <c r="R10" s="87">
        <f t="shared" ref="R10:R24" si="7">F10</f>
        <v>2.87E-2</v>
      </c>
      <c r="S10" s="87">
        <f t="shared" ref="S10:S16" si="8">G10</f>
        <v>0.43532499999999996</v>
      </c>
      <c r="T10" s="87">
        <f t="shared" ref="T10:T16" si="9">H10</f>
        <v>2.8318285694444443</v>
      </c>
      <c r="U10" s="87">
        <f t="shared" ref="U10:U16" si="10">I10</f>
        <v>8.7999999999999995E-2</v>
      </c>
      <c r="V10" s="87">
        <f t="shared" ref="V10:V24" si="11">SUM(N10:U10)</f>
        <v>3.7202813819444445</v>
      </c>
    </row>
    <row r="11" spans="1:22" x14ac:dyDescent="0.25">
      <c r="A11">
        <v>2008</v>
      </c>
      <c r="B11" s="87">
        <f>'Master Table 2006 2013'!E$6*'CH4 Emission factors'!$E$3*CropBurn!$F$10*0.000001</f>
        <v>6.1425E-2</v>
      </c>
      <c r="C11" s="87">
        <f>'Master Table 2006 2013'!E$7*'CH4 Emission factors'!$E$4*CropBurn!$F$10*0.000001</f>
        <v>0.17418124999999998</v>
      </c>
      <c r="D11" s="87">
        <f>'Master Table 2006 2013'!E$17*'CH4 Emission factors'!$E$9*CropBurn!$F$10*0.000001</f>
        <v>6.195E-3</v>
      </c>
      <c r="E11" s="87">
        <f>'Master Table 2006 2013'!E$12*'CH4 Emission factors'!$E$10*CropBurn!$F$10*0.000001</f>
        <v>0.11303937500000001</v>
      </c>
      <c r="F11" s="87">
        <f>'Master Table 2006 2013'!E$44*'CH4 Emission factors'!$E$11*CropBurn!$F$10*0.000001</f>
        <v>2.9724999999999998E-2</v>
      </c>
      <c r="G11" s="87">
        <f>'Master Table 2006 2013'!E$19*'CH4 Emission factors'!$E$14*CropBurn!$F$10*0.000001</f>
        <v>0.16747499999999998</v>
      </c>
      <c r="H11" s="87">
        <f>(('Master Table 2006 2013'!E$25*'CH4 Emission factors'!$E$18)+(('Master Table 2006 2013'!E$26+'Master Table 2006 2013'!E$40+'Master Table 2006 2013'!E$32)*'CH4 Emission factors'!$E$20))*CropBurn!$F$10*0.000001</f>
        <v>2.9487229027777779</v>
      </c>
      <c r="I11" s="87">
        <f>'Master Table 2006 2013'!E$46*'CH4 Emission factors'!$E$23*CropBurn!$F$10*0.000001</f>
        <v>8.7999999999999995E-2</v>
      </c>
      <c r="J11" s="87">
        <f t="shared" si="1"/>
        <v>3.5887635277777781</v>
      </c>
      <c r="M11">
        <f t="shared" si="2"/>
        <v>2008</v>
      </c>
      <c r="N11" s="87">
        <f t="shared" si="3"/>
        <v>6.1425E-2</v>
      </c>
      <c r="O11" s="87">
        <f t="shared" si="4"/>
        <v>0.17418124999999998</v>
      </c>
      <c r="P11" s="87">
        <f t="shared" si="5"/>
        <v>6.195E-3</v>
      </c>
      <c r="Q11" s="87">
        <f t="shared" si="6"/>
        <v>0.11303937500000001</v>
      </c>
      <c r="R11" s="87">
        <f t="shared" si="7"/>
        <v>2.9724999999999998E-2</v>
      </c>
      <c r="S11" s="87">
        <f t="shared" si="8"/>
        <v>0.16747499999999998</v>
      </c>
      <c r="T11" s="87">
        <f t="shared" si="9"/>
        <v>2.9487229027777779</v>
      </c>
      <c r="U11" s="87">
        <f t="shared" si="10"/>
        <v>8.7999999999999995E-2</v>
      </c>
      <c r="V11" s="87">
        <f t="shared" si="11"/>
        <v>3.5887635277777781</v>
      </c>
    </row>
    <row r="12" spans="1:22" x14ac:dyDescent="0.25">
      <c r="A12">
        <v>2009</v>
      </c>
      <c r="B12" s="87">
        <f>'Master Table 2006 2013'!F$6*'CH4 Emission factors'!$E$3*CropBurn!$F$10*0.000001</f>
        <v>5.79E-2</v>
      </c>
      <c r="C12" s="87">
        <f>'Master Table 2006 2013'!F$7*'CH4 Emission factors'!$E$4*CropBurn!$F$10*0.000001</f>
        <v>0.1751375</v>
      </c>
      <c r="D12" s="87">
        <f>'Master Table 2006 2013'!F$17*'CH4 Emission factors'!$E$9*CropBurn!$F$10*0.000001</f>
        <v>7.9865624999999989E-3</v>
      </c>
      <c r="E12" s="87">
        <f>'Master Table 2006 2013'!F$12*'CH4 Emission factors'!$E$10*CropBurn!$F$10*0.000001</f>
        <v>0.11345693749999999</v>
      </c>
      <c r="F12" s="87">
        <f>'Master Table 2006 2013'!F$44*'CH4 Emission factors'!$E$11*CropBurn!$F$10*0.000001</f>
        <v>3.075E-2</v>
      </c>
      <c r="G12" s="87">
        <f>'Master Table 2006 2013'!F$19*'CH4 Emission factors'!$E$14*CropBurn!$F$10*0.000001</f>
        <v>0.35269999999999996</v>
      </c>
      <c r="H12" s="87">
        <f>(('Master Table 2006 2013'!F$25*'CH4 Emission factors'!$E$18)+(('Master Table 2006 2013'!F$26+'Master Table 2006 2013'!F$40+'Master Table 2006 2013'!F$32)*'CH4 Emission factors'!$E$20))*CropBurn!$F$10*0.000001</f>
        <v>2.9622712638888884</v>
      </c>
      <c r="I12" s="87">
        <f>'Master Table 2006 2013'!F$46*'CH4 Emission factors'!$E$23*CropBurn!$F$10*0.000001</f>
        <v>8.7999999999999995E-2</v>
      </c>
      <c r="J12" s="87">
        <f t="shared" si="1"/>
        <v>3.7882022638888886</v>
      </c>
      <c r="M12">
        <f t="shared" si="2"/>
        <v>2009</v>
      </c>
      <c r="N12" s="87">
        <f t="shared" si="3"/>
        <v>5.79E-2</v>
      </c>
      <c r="O12" s="87">
        <f t="shared" si="4"/>
        <v>0.1751375</v>
      </c>
      <c r="P12" s="87">
        <f t="shared" si="5"/>
        <v>7.9865624999999989E-3</v>
      </c>
      <c r="Q12" s="87">
        <f t="shared" si="6"/>
        <v>0.11345693749999999</v>
      </c>
      <c r="R12" s="87">
        <f t="shared" si="7"/>
        <v>3.075E-2</v>
      </c>
      <c r="S12" s="87">
        <f t="shared" si="8"/>
        <v>0.35269999999999996</v>
      </c>
      <c r="T12" s="87">
        <f t="shared" si="9"/>
        <v>2.9622712638888884</v>
      </c>
      <c r="U12" s="87">
        <f t="shared" si="10"/>
        <v>8.7999999999999995E-2</v>
      </c>
      <c r="V12" s="87">
        <f t="shared" si="11"/>
        <v>3.7882022638888886</v>
      </c>
    </row>
    <row r="13" spans="1:22" x14ac:dyDescent="0.25">
      <c r="A13">
        <v>2010</v>
      </c>
      <c r="B13" s="87">
        <f>'Master Table 2006 2013'!G$6*'CH4 Emission factors'!$E$3*CropBurn!$F$10*0.000001</f>
        <v>6.6974999999999993E-2</v>
      </c>
      <c r="C13" s="87">
        <f>'Master Table 2006 2013'!G$7*'CH4 Emission factors'!$E$4*CropBurn!$F$10*0.000001</f>
        <v>0.17114374999999998</v>
      </c>
      <c r="D13" s="87">
        <f>'Master Table 2006 2013'!G$17*'CH4 Emission factors'!$E$9*CropBurn!$F$10*0.000001</f>
        <v>7.8599999999999989E-3</v>
      </c>
      <c r="E13" s="87">
        <f>'Master Table 2006 2013'!G$12*'CH4 Emission factors'!$E$10*CropBurn!$F$10*0.000001</f>
        <v>0.12013581249999999</v>
      </c>
      <c r="F13" s="87">
        <f>'Master Table 2006 2013'!G$44*'CH4 Emission factors'!$E$11*CropBurn!$F$10*0.000001</f>
        <v>3.1774999999999998E-2</v>
      </c>
      <c r="G13" s="87">
        <f>'Master Table 2006 2013'!G$19*'CH4 Emission factors'!$E$14*CropBurn!$F$10*0.000001</f>
        <v>0.55817499999999998</v>
      </c>
      <c r="H13" s="87">
        <f>(('Master Table 2006 2013'!G$25*'CH4 Emission factors'!$E$18)+(('Master Table 2006 2013'!G$26+'Master Table 2006 2013'!G$40+'Master Table 2006 2013'!G$32)*'CH4 Emission factors'!$E$20))*CropBurn!$F$10*0.000001</f>
        <v>3.113983666666666</v>
      </c>
      <c r="I13" s="87">
        <f>'Master Table 2006 2013'!G$46*'CH4 Emission factors'!$E$23*CropBurn!$F$10*0.000001</f>
        <v>8.7999999999999995E-2</v>
      </c>
      <c r="J13" s="87">
        <f t="shared" si="1"/>
        <v>4.1580482291666661</v>
      </c>
      <c r="M13">
        <f t="shared" si="2"/>
        <v>2010</v>
      </c>
      <c r="N13" s="87">
        <f t="shared" si="3"/>
        <v>6.6974999999999993E-2</v>
      </c>
      <c r="O13" s="87">
        <f t="shared" si="4"/>
        <v>0.17114374999999998</v>
      </c>
      <c r="P13" s="87">
        <f t="shared" si="5"/>
        <v>7.8599999999999989E-3</v>
      </c>
      <c r="Q13" s="87">
        <f t="shared" si="6"/>
        <v>0.12013581249999999</v>
      </c>
      <c r="R13" s="87">
        <f t="shared" si="7"/>
        <v>3.1774999999999998E-2</v>
      </c>
      <c r="S13" s="87">
        <f t="shared" si="8"/>
        <v>0.55817499999999998</v>
      </c>
      <c r="T13" s="87">
        <f t="shared" si="9"/>
        <v>3.113983666666666</v>
      </c>
      <c r="U13" s="87">
        <f t="shared" si="10"/>
        <v>8.7999999999999995E-2</v>
      </c>
      <c r="V13" s="87">
        <f t="shared" si="11"/>
        <v>4.1580482291666661</v>
      </c>
    </row>
    <row r="14" spans="1:22" x14ac:dyDescent="0.25">
      <c r="A14">
        <v>2011</v>
      </c>
      <c r="B14" s="87">
        <f>'Master Table 2006 2013'!H$6*'CH4 Emission factors'!$E$3*CropBurn!$F$10*0.000001</f>
        <v>6.3125000000000001E-2</v>
      </c>
      <c r="C14" s="87">
        <f>'Master Table 2006 2013'!H$7*'CH4 Emission factors'!$E$4*CropBurn!$F$10*0.000001</f>
        <v>0.14976249999999999</v>
      </c>
      <c r="D14" s="87">
        <f>'Master Table 2006 2013'!H$17*'CH4 Emission factors'!$E$9*CropBurn!$F$10*0.000001</f>
        <v>7.4756249999999988E-3</v>
      </c>
      <c r="E14" s="87">
        <f>'Master Table 2006 2013'!H$12*'CH4 Emission factors'!$E$10*CropBurn!$F$10*0.000001</f>
        <v>0.120204875</v>
      </c>
      <c r="F14" s="87">
        <f>'Master Table 2006 2013'!H$44*'CH4 Emission factors'!$E$11*CropBurn!$F$10*0.000001</f>
        <v>3.2799999999999996E-2</v>
      </c>
      <c r="G14" s="87">
        <f>'Master Table 2006 2013'!H$19*'CH4 Emission factors'!$E$14*CropBurn!$F$10*0.000001</f>
        <v>0.582125</v>
      </c>
      <c r="H14" s="87">
        <f>(('Master Table 2006 2013'!H$25*'CH4 Emission factors'!$E$18)+(('Master Table 2006 2013'!H$26+'Master Table 2006 2013'!H$40+'Master Table 2006 2013'!H$32)*'CH4 Emission factors'!$E$20))*CropBurn!$F$10*0.000001</f>
        <v>3.1724041388888895</v>
      </c>
      <c r="I14" s="87">
        <f>'Master Table 2006 2013'!H$46*'CH4 Emission factors'!$E$23*CropBurn!$F$10*0.000001</f>
        <v>8.7999999999999995E-2</v>
      </c>
      <c r="J14" s="87">
        <f t="shared" si="1"/>
        <v>4.2158971388888897</v>
      </c>
      <c r="M14">
        <f t="shared" si="2"/>
        <v>2011</v>
      </c>
      <c r="N14" s="87">
        <f t="shared" si="3"/>
        <v>6.3125000000000001E-2</v>
      </c>
      <c r="O14" s="87">
        <f t="shared" si="4"/>
        <v>0.14976249999999999</v>
      </c>
      <c r="P14" s="87">
        <f t="shared" si="5"/>
        <v>7.4756249999999988E-3</v>
      </c>
      <c r="Q14" s="87">
        <f t="shared" si="6"/>
        <v>0.120204875</v>
      </c>
      <c r="R14" s="87">
        <f t="shared" si="7"/>
        <v>3.2799999999999996E-2</v>
      </c>
      <c r="S14" s="87">
        <f t="shared" si="8"/>
        <v>0.582125</v>
      </c>
      <c r="T14" s="87">
        <f t="shared" si="9"/>
        <v>3.1724041388888895</v>
      </c>
      <c r="U14" s="87">
        <f t="shared" si="10"/>
        <v>8.7999999999999995E-2</v>
      </c>
      <c r="V14" s="87">
        <f t="shared" si="11"/>
        <v>4.2158971388888897</v>
      </c>
    </row>
    <row r="15" spans="1:22" x14ac:dyDescent="0.25">
      <c r="A15">
        <v>2012</v>
      </c>
      <c r="B15" s="87">
        <f>'Master Table 2006 2013'!I$6*'CH4 Emission factors'!$E$3*CropBurn!$F$10*0.000001</f>
        <v>7.5549999999999992E-2</v>
      </c>
      <c r="C15" s="87">
        <f>'Master Table 2006 2013'!I$7*'CH4 Emission factors'!$E$4*CropBurn!$F$10*0.000001</f>
        <v>0.15248124999999998</v>
      </c>
      <c r="D15" s="87">
        <f>'Master Table 2006 2013'!I$17*'CH4 Emission factors'!$E$9*CropBurn!$F$10*0.000001</f>
        <v>8.4825000000000005E-3</v>
      </c>
      <c r="E15" s="87">
        <f>'Master Table 2006 2013'!I$12*'CH4 Emission factors'!$E$10*CropBurn!$F$10*0.000001</f>
        <v>0.11699718750000002</v>
      </c>
      <c r="F15" s="87">
        <f>'Master Table 2006 2013'!I$44*'CH4 Emission factors'!$E$11*CropBurn!$F$10*0.000001</f>
        <v>3.3784000000000002E-2</v>
      </c>
      <c r="G15" s="87">
        <f>'Master Table 2006 2013'!I$19*'CH4 Emission factors'!$E$14*CropBurn!$F$10*0.000001</f>
        <v>0.38217499999999999</v>
      </c>
      <c r="H15" s="87">
        <f>(('Master Table 2006 2013'!I$25*'CH4 Emission factors'!$E$18)+(('Master Table 2006 2013'!I$26+'Master Table 2006 2013'!I$40+'Master Table 2006 2013'!I$32)*'CH4 Emission factors'!$E$20))*CropBurn!$F$10*0.000001</f>
        <v>3.2283002499999998</v>
      </c>
      <c r="I15" s="87">
        <f>'Master Table 2006 2013'!I$46*'CH4 Emission factors'!$E$23*CropBurn!$F$10*0.000001</f>
        <v>8.7999999999999995E-2</v>
      </c>
      <c r="J15" s="87">
        <f t="shared" si="1"/>
        <v>4.0857701874999997</v>
      </c>
      <c r="M15">
        <f t="shared" si="2"/>
        <v>2012</v>
      </c>
      <c r="N15" s="87">
        <f t="shared" si="3"/>
        <v>7.5549999999999992E-2</v>
      </c>
      <c r="O15" s="87">
        <f t="shared" si="4"/>
        <v>0.15248124999999998</v>
      </c>
      <c r="P15" s="87">
        <f t="shared" si="5"/>
        <v>8.4825000000000005E-3</v>
      </c>
      <c r="Q15" s="87">
        <f t="shared" si="6"/>
        <v>0.11699718750000002</v>
      </c>
      <c r="R15" s="87">
        <f t="shared" si="7"/>
        <v>3.3784000000000002E-2</v>
      </c>
      <c r="S15" s="87">
        <f t="shared" si="8"/>
        <v>0.38217499999999999</v>
      </c>
      <c r="T15" s="87">
        <f t="shared" si="9"/>
        <v>3.2283002499999998</v>
      </c>
      <c r="U15" s="87">
        <f t="shared" si="10"/>
        <v>8.7999999999999995E-2</v>
      </c>
      <c r="V15" s="87">
        <f t="shared" si="11"/>
        <v>4.0857701874999997</v>
      </c>
    </row>
    <row r="16" spans="1:22" x14ac:dyDescent="0.25">
      <c r="A16">
        <v>2013</v>
      </c>
      <c r="B16" s="87">
        <f>'Master Table 2006 2013'!J$6*'CH4 Emission factors'!$E$3*CropBurn!$F$10*0.000001</f>
        <v>7.1849999999999997E-2</v>
      </c>
      <c r="C16" s="87">
        <f>'Master Table 2006 2013'!J$7*'CH4 Emission factors'!$E$4*CropBurn!$F$10*0.000001</f>
        <v>0.15318124999999999</v>
      </c>
      <c r="D16" s="87">
        <f>'Master Table 2006 2013'!J$17*'CH4 Emission factors'!$E$9*CropBurn!$F$10*0.000001</f>
        <v>9.5231250000000003E-3</v>
      </c>
      <c r="E16" s="87">
        <f>'Master Table 2006 2013'!J$12*'CH4 Emission factors'!$E$10*CropBurn!$F$10*0.000001</f>
        <v>0.11021418749999999</v>
      </c>
      <c r="F16" s="87">
        <f>'Master Table 2006 2013'!J$44*'CH4 Emission factors'!$E$11*CropBurn!$F$10*0.000001</f>
        <v>3.5054999999999989E-2</v>
      </c>
      <c r="G16" s="87">
        <f>'Master Table 2006 2013'!J$19*'CH4 Emission factors'!$E$14*CropBurn!$F$10*0.000001</f>
        <v>0.39902499999999996</v>
      </c>
      <c r="H16" s="87">
        <f>(('Master Table 2006 2013'!J$25*'CH4 Emission factors'!$E$18)+(('Master Table 2006 2013'!J$26+'Master Table 2006 2013'!J$40+'Master Table 2006 2013'!J$32)*'CH4 Emission factors'!$E$20))*CropBurn!$F$10*0.000001</f>
        <v>3.1984491249999998</v>
      </c>
      <c r="I16" s="87">
        <f>'Master Table 2006 2013'!J$46*'CH4 Emission factors'!$E$23*CropBurn!$F$10*0.000001</f>
        <v>8.7999999999999995E-2</v>
      </c>
      <c r="J16" s="87">
        <f t="shared" si="1"/>
        <v>4.0652976874999993</v>
      </c>
      <c r="M16">
        <f t="shared" si="2"/>
        <v>2013</v>
      </c>
      <c r="N16" s="87">
        <f t="shared" si="3"/>
        <v>7.1849999999999997E-2</v>
      </c>
      <c r="O16" s="87">
        <f t="shared" si="4"/>
        <v>0.15318124999999999</v>
      </c>
      <c r="P16" s="87">
        <f t="shared" si="5"/>
        <v>9.5231250000000003E-3</v>
      </c>
      <c r="Q16" s="87">
        <f t="shared" si="6"/>
        <v>0.11021418749999999</v>
      </c>
      <c r="R16" s="87">
        <f t="shared" si="7"/>
        <v>3.5054999999999989E-2</v>
      </c>
      <c r="S16" s="87">
        <f t="shared" si="8"/>
        <v>0.39902499999999996</v>
      </c>
      <c r="T16" s="87">
        <f t="shared" si="9"/>
        <v>3.1984491249999998</v>
      </c>
      <c r="U16" s="87">
        <f t="shared" si="10"/>
        <v>8.7999999999999995E-2</v>
      </c>
      <c r="V16" s="87">
        <f t="shared" si="11"/>
        <v>4.0652976874999993</v>
      </c>
    </row>
    <row r="17" spans="1:22" x14ac:dyDescent="0.25">
      <c r="A17">
        <v>2015</v>
      </c>
      <c r="B17" s="87">
        <f>LStock_Heads!F$27*'CH4 Emission factors'!$E$3*CropBurn!$F$10*0.000001</f>
        <v>7.2499999999999995E-2</v>
      </c>
      <c r="C17" s="87">
        <f>LStock_Heads!F$28*'CH4 Emission factors'!$E$4*CropBurn!$F$10*0.000001</f>
        <v>0.1525</v>
      </c>
      <c r="D17" s="87">
        <f>LStock_Heads!F$31*'CH4 Emission factors'!$E$9*CropBurn!$F$10*0.000001</f>
        <v>9.75E-3</v>
      </c>
      <c r="E17" s="87">
        <f>LStock_Heads!F$30*'CH4 Emission factors'!$E$10*CropBurn!$F$10*0.000001</f>
        <v>0.1105</v>
      </c>
      <c r="F17" s="87">
        <f>'Master Table 2006 2013'!J$44*'CH4 Emission factors'!$E$11*CropBurn!$F$10*0.000001</f>
        <v>3.5054999999999989E-2</v>
      </c>
      <c r="G17" s="87">
        <f>LStock_Heads!F$36*'CH4 Emission factors'!$E$14*CropBurn!$F$10*0.000001</f>
        <v>0.52500000000000002</v>
      </c>
      <c r="H17" s="87">
        <f>((LStock_Heads!F$32*'CH4 Emission factors'!$E$18)+(LStock_Heads!F$35*'CH4 Emission factors'!$E$20))*CropBurn!$F$10*0.000001</f>
        <v>3.1419999999999999</v>
      </c>
      <c r="I17" s="87">
        <f>LStock_Heads!F$37*'CH4 Emission factors'!$E$23*CropBurn!$F$10*0.000001</f>
        <v>8.7999999999999995E-2</v>
      </c>
      <c r="J17" s="87">
        <f t="shared" si="1"/>
        <v>4.1353049999999998</v>
      </c>
      <c r="M17">
        <f t="shared" si="2"/>
        <v>2015</v>
      </c>
      <c r="N17" s="87">
        <f>LStock_Heads!F$5*'CH4 Emission factors'!$E$3*CropBurn!$F$10*0.000001</f>
        <v>7.2499999999999995E-2</v>
      </c>
      <c r="O17" s="87">
        <f>LStock_Heads!F$6*'CH4 Emission factors'!$E$4*CropBurn!$F$10*0.000001</f>
        <v>0.1525</v>
      </c>
      <c r="P17">
        <f>LStock_Heads!F$9*'CH4 Emission factors'!$E$9*CropBurn!$F$10*0.000001</f>
        <v>9.75E-3</v>
      </c>
      <c r="Q17">
        <f>LStock_Heads!F$8*'CH4 Emission factors'!$E$10*CropBurn!$F$10*0.000001</f>
        <v>0.1105</v>
      </c>
      <c r="R17" s="87">
        <f t="shared" si="7"/>
        <v>3.5054999999999989E-2</v>
      </c>
      <c r="S17" s="87">
        <f>LStock_Heads!F$14*'CH4 Emission factors'!$E$14*CropBurn!$F$10*0.000001</f>
        <v>0.52500000000000002</v>
      </c>
      <c r="T17">
        <f>((LStock_Heads!F$10*'CH4 Emission factors'!$E$18)+(LStock_Heads!F$13*'CH4 Emission factors'!$E$20))*CropBurn!$F$10*0.000001</f>
        <v>3.1419999999999999</v>
      </c>
      <c r="U17">
        <f>LStock_Heads!F$15*'CH4 Emission factors'!$E$23*CropBurn!$F$10*0.000001</f>
        <v>8.7999999999999995E-2</v>
      </c>
      <c r="V17" s="87">
        <f t="shared" si="11"/>
        <v>4.1353049999999998</v>
      </c>
    </row>
    <row r="18" spans="1:22" x14ac:dyDescent="0.25">
      <c r="A18">
        <v>2020</v>
      </c>
      <c r="B18" s="87">
        <f>LStock_Heads!G$27*'CH4 Emission factors'!$E$3*CropBurn!$F$10*0.000001</f>
        <v>6.7499999999999991E-2</v>
      </c>
      <c r="C18" s="87">
        <f>LStock_Heads!G$28*'CH4 Emission factors'!$E$4*CropBurn!$F$10*0.000001</f>
        <v>0.14499999999999999</v>
      </c>
      <c r="D18" s="87">
        <f>LStock_Heads!G$31*'CH4 Emission factors'!$E$9*CropBurn!$F$10*0.000001</f>
        <v>1.0125E-2</v>
      </c>
      <c r="E18" s="87">
        <f>LStock_Heads!G$30*'CH4 Emission factors'!$E$10*CropBurn!$F$10*0.000001</f>
        <v>0.108375</v>
      </c>
      <c r="F18" s="87">
        <f>'Master Table 2006 2013'!J$44*'CH4 Emission factors'!$E$11*CropBurn!$F$10*0.000001</f>
        <v>3.5054999999999989E-2</v>
      </c>
      <c r="G18" s="87">
        <f>LStock_Heads!G$36*'CH4 Emission factors'!$E$14*CropBurn!$F$10*0.000001</f>
        <v>0.54999999999999993</v>
      </c>
      <c r="H18" s="87">
        <f>((LStock_Heads!G$32*'CH4 Emission factors'!$E$18)+(LStock_Heads!G$35*'CH4 Emission factors'!$E$20))*CropBurn!$F$10*0.000001</f>
        <v>3.2614999999999998</v>
      </c>
      <c r="I18" s="87">
        <f>LStock_Heads!G$37*'CH4 Emission factors'!$E$23*CropBurn!$F$10*0.000001</f>
        <v>8.249999999999999E-2</v>
      </c>
      <c r="J18" s="87">
        <f t="shared" si="1"/>
        <v>4.2600549999999995</v>
      </c>
      <c r="M18">
        <f t="shared" si="2"/>
        <v>2020</v>
      </c>
      <c r="N18" s="87">
        <f>LStock_Heads!G$5*'CH4 Emission factors'!$E$3*CropBurn!$F$10*0.000001</f>
        <v>7.4999999999999997E-2</v>
      </c>
      <c r="O18" s="87">
        <f>LStock_Heads!G$6*'CH4 Emission factors'!$E$4*CropBurn!$F$10*0.000001</f>
        <v>0.1575</v>
      </c>
      <c r="P18">
        <f>LStock_Heads!G$9*'CH4 Emission factors'!$E$9*CropBurn!$F$10*0.000001</f>
        <v>1.125E-2</v>
      </c>
      <c r="Q18">
        <f>LStock_Heads!G$8*'CH4 Emission factors'!$E$10*CropBurn!$F$10*0.000001</f>
        <v>0.11347499999999999</v>
      </c>
      <c r="R18" s="87">
        <f t="shared" si="7"/>
        <v>3.5054999999999989E-2</v>
      </c>
      <c r="S18" s="87">
        <f>LStock_Heads!G$14*'CH4 Emission factors'!$E$14*CropBurn!$F$10*0.000001</f>
        <v>0.54999999999999993</v>
      </c>
      <c r="T18">
        <f>((LStock_Heads!G$10*'CH4 Emission factors'!$E$18)+(LStock_Heads!G$13*'CH4 Emission factors'!$E$20))*CropBurn!$F$10*0.000001</f>
        <v>3.2614999999999998</v>
      </c>
      <c r="U18">
        <f>LStock_Heads!G$15*'CH4 Emission factors'!$E$23*CropBurn!$F$10*0.000001</f>
        <v>9.35E-2</v>
      </c>
      <c r="V18" s="87">
        <f t="shared" si="11"/>
        <v>4.2972799999999998</v>
      </c>
    </row>
    <row r="19" spans="1:22" x14ac:dyDescent="0.25">
      <c r="A19">
        <v>2025</v>
      </c>
      <c r="B19" s="87">
        <f>LStock_Heads!H$27*'CH4 Emission factors'!$E$3*CropBurn!$F$10*0.000001</f>
        <v>6.25E-2</v>
      </c>
      <c r="C19" s="87">
        <f>LStock_Heads!H$28*'CH4 Emission factors'!$E$4*CropBurn!$F$10*0.000001</f>
        <v>0.13999999999999999</v>
      </c>
      <c r="D19" s="87">
        <f>LStock_Heads!H$31*'CH4 Emission factors'!$E$9*CropBurn!$F$10*0.000001</f>
        <v>1.0125E-2</v>
      </c>
      <c r="E19" s="87">
        <f>LStock_Heads!H$30*'CH4 Emission factors'!$E$10*CropBurn!$F$10*0.000001</f>
        <v>0.108375</v>
      </c>
      <c r="F19" s="87">
        <f>'Master Table 2006 2013'!J$44*'CH4 Emission factors'!$E$11*CropBurn!$F$10*0.000001</f>
        <v>3.5054999999999989E-2</v>
      </c>
      <c r="G19" s="87">
        <f>LStock_Heads!H$36*'CH4 Emission factors'!$E$14*CropBurn!$F$10*0.000001</f>
        <v>0.54999999999999993</v>
      </c>
      <c r="H19" s="87">
        <f>((LStock_Heads!H$32*'CH4 Emission factors'!$E$18)+(LStock_Heads!H$35*'CH4 Emission factors'!$E$20))*CropBurn!$F$10*0.000001</f>
        <v>3.3697499999999998</v>
      </c>
      <c r="I19" s="87">
        <f>LStock_Heads!H$37*'CH4 Emission factors'!$E$23*CropBurn!$F$10*0.000001</f>
        <v>8.249999999999999E-2</v>
      </c>
      <c r="J19" s="87">
        <f t="shared" si="1"/>
        <v>4.3583049999999997</v>
      </c>
      <c r="M19">
        <f t="shared" si="2"/>
        <v>2025</v>
      </c>
      <c r="N19" s="87">
        <f>LStock_Heads!H$5*'CH4 Emission factors'!$E$3*CropBurn!$F$10*0.000001</f>
        <v>0.08</v>
      </c>
      <c r="O19" s="87">
        <f>LStock_Heads!H$6*'CH4 Emission factors'!$E$4*CropBurn!$F$10*0.000001</f>
        <v>0.16799999999999998</v>
      </c>
      <c r="P19">
        <f>LStock_Heads!H$9*'CH4 Emission factors'!$E$9*CropBurn!$F$10*0.000001</f>
        <v>1.3125E-2</v>
      </c>
      <c r="Q19">
        <f>LStock_Heads!H$8*'CH4 Emission factors'!$E$10*CropBurn!$F$10*0.000001</f>
        <v>0.11899999999999999</v>
      </c>
      <c r="R19" s="87">
        <f t="shared" si="7"/>
        <v>3.5054999999999989E-2</v>
      </c>
      <c r="S19" s="87">
        <f>LStock_Heads!H$14*'CH4 Emission factors'!$E$14*CropBurn!$F$10*0.000001</f>
        <v>0.57499999999999996</v>
      </c>
      <c r="T19">
        <f>((LStock_Heads!H$10*'CH4 Emission factors'!$E$18)+(LStock_Heads!H$13*'CH4 Emission factors'!$E$20))*CropBurn!$F$10*0.000001</f>
        <v>3.3697499999999998</v>
      </c>
      <c r="U19">
        <f>LStock_Heads!H$15*'CH4 Emission factors'!$E$23*CropBurn!$F$10*0.000001</f>
        <v>9.6250000000000002E-2</v>
      </c>
      <c r="V19" s="87">
        <f t="shared" si="11"/>
        <v>4.4561799999999998</v>
      </c>
    </row>
    <row r="20" spans="1:22" x14ac:dyDescent="0.25">
      <c r="A20">
        <v>2030</v>
      </c>
      <c r="B20" s="87">
        <f>LStock_Heads!I$27*'CH4 Emission factors'!$E$3*CropBurn!$F$10*0.000001</f>
        <v>0.06</v>
      </c>
      <c r="C20" s="87">
        <f>LStock_Heads!I$28*'CH4 Emission factors'!$E$4*CropBurn!$F$10*0.000001</f>
        <v>0.13749999999999998</v>
      </c>
      <c r="D20" s="87">
        <f>LStock_Heads!I$31*'CH4 Emission factors'!$E$9*CropBurn!$F$10*0.000001</f>
        <v>1.0499999999999999E-2</v>
      </c>
      <c r="E20" s="87">
        <f>LStock_Heads!I$30*'CH4 Emission factors'!$E$10*CropBurn!$F$10*0.000001</f>
        <v>0.10625</v>
      </c>
      <c r="F20" s="87">
        <f>'Master Table 2006 2013'!J$44*'CH4 Emission factors'!$E$11*CropBurn!$F$10*0.000001</f>
        <v>3.5054999999999989E-2</v>
      </c>
      <c r="G20" s="87">
        <f>LStock_Heads!I$36*'CH4 Emission factors'!$E$14*CropBurn!$F$10*0.000001</f>
        <v>0.5625</v>
      </c>
      <c r="H20" s="87">
        <f>((LStock_Heads!I$32*'CH4 Emission factors'!$E$18)+(LStock_Heads!I$35*'CH4 Emission factors'!$E$20))*CropBurn!$F$10*0.000001</f>
        <v>3.4242499999999998</v>
      </c>
      <c r="I20" s="87">
        <f>LStock_Heads!I$37*'CH4 Emission factors'!$E$23*CropBurn!$F$10*0.000001</f>
        <v>8.3874999999999991E-2</v>
      </c>
      <c r="J20" s="87">
        <f t="shared" si="1"/>
        <v>4.4199299999999999</v>
      </c>
      <c r="M20">
        <f t="shared" si="2"/>
        <v>2030</v>
      </c>
      <c r="N20" s="87">
        <f>LStock_Heads!I$5*'CH4 Emission factors'!$E$3*CropBurn!$F$10*0.000001</f>
        <v>8.4999999999999992E-2</v>
      </c>
      <c r="O20" s="87">
        <f>LStock_Heads!I$6*'CH4 Emission factors'!$E$4*CropBurn!$F$10*0.000001</f>
        <v>0.17849999999999999</v>
      </c>
      <c r="P20">
        <f>LStock_Heads!I$9*'CH4 Emission factors'!$E$9*CropBurn!$F$10*0.000001</f>
        <v>1.4999999999999999E-2</v>
      </c>
      <c r="Q20">
        <f>LStock_Heads!I$8*'CH4 Emission factors'!$E$10*CropBurn!$F$10*0.000001</f>
        <v>0.1275</v>
      </c>
      <c r="R20" s="87">
        <f t="shared" si="7"/>
        <v>3.5054999999999989E-2</v>
      </c>
      <c r="S20" s="87">
        <f>LStock_Heads!I$14*'CH4 Emission factors'!$E$14*CropBurn!$F$10*0.000001</f>
        <v>0.6</v>
      </c>
      <c r="T20">
        <f>((LStock_Heads!I$10*'CH4 Emission factors'!$E$18)+(LStock_Heads!I$13*'CH4 Emission factors'!$E$20))*CropBurn!$F$10*0.000001</f>
        <v>3.4242499999999998</v>
      </c>
      <c r="U20">
        <f>LStock_Heads!I$15*'CH4 Emission factors'!$E$23*CropBurn!$F$10*0.000001</f>
        <v>9.8999999999999991E-2</v>
      </c>
      <c r="V20" s="87">
        <f t="shared" si="11"/>
        <v>4.5643050000000001</v>
      </c>
    </row>
    <row r="21" spans="1:22" x14ac:dyDescent="0.25">
      <c r="A21">
        <v>2035</v>
      </c>
      <c r="B21" s="87">
        <f>LStock_Heads!J$27*'CH4 Emission factors'!$E$3*CropBurn!$F$10*0.000001</f>
        <v>0.06</v>
      </c>
      <c r="C21" s="87">
        <f>LStock_Heads!J$28*'CH4 Emission factors'!$E$4*CropBurn!$F$10*0.000001</f>
        <v>0.13749999999999998</v>
      </c>
      <c r="D21" s="87">
        <f>LStock_Heads!J$31*'CH4 Emission factors'!$E$9*CropBurn!$F$10*0.000001</f>
        <v>1.0874999999999999E-2</v>
      </c>
      <c r="E21" s="87">
        <f>LStock_Heads!J$30*'CH4 Emission factors'!$E$10*CropBurn!$F$10*0.000001</f>
        <v>0.10625</v>
      </c>
      <c r="F21" s="87">
        <f>'Master Table 2006 2013'!J$44*'CH4 Emission factors'!$E$11*CropBurn!$F$10*0.000001</f>
        <v>3.5054999999999989E-2</v>
      </c>
      <c r="G21" s="87">
        <f>LStock_Heads!J$36*'CH4 Emission factors'!$E$14*CropBurn!$F$10*0.000001</f>
        <v>0.56874999999999998</v>
      </c>
      <c r="H21" s="87">
        <f>((LStock_Heads!J$32*'CH4 Emission factors'!$E$18)+(LStock_Heads!J$35*'CH4 Emission factors'!$E$20))*CropBurn!$F$10*0.000001</f>
        <v>3.5153749999999997</v>
      </c>
      <c r="I21" s="87">
        <f>LStock_Heads!J$37*'CH4 Emission factors'!$E$23*CropBurn!$F$10*0.000001</f>
        <v>8.4425E-2</v>
      </c>
      <c r="J21" s="87">
        <f t="shared" si="1"/>
        <v>4.51823</v>
      </c>
      <c r="M21">
        <f t="shared" si="2"/>
        <v>2035</v>
      </c>
      <c r="N21" s="87">
        <f>LStock_Heads!J$5*'CH4 Emission factors'!$E$3*CropBurn!$F$10*0.000001</f>
        <v>9.2499999999999999E-2</v>
      </c>
      <c r="O21" s="87">
        <f>LStock_Heads!J$6*'CH4 Emission factors'!$E$4*CropBurn!$F$10*0.000001</f>
        <v>0.18925</v>
      </c>
      <c r="P21">
        <f>LStock_Heads!J$9*'CH4 Emission factors'!$E$9*CropBurn!$F$10*0.000001</f>
        <v>1.8749999999999999E-2</v>
      </c>
      <c r="Q21">
        <f>LStock_Heads!J$8*'CH4 Emission factors'!$E$10*CropBurn!$F$10*0.000001</f>
        <v>0.138125</v>
      </c>
      <c r="R21" s="87">
        <f t="shared" si="7"/>
        <v>3.5054999999999989E-2</v>
      </c>
      <c r="S21" s="87">
        <f>LStock_Heads!J$14*'CH4 Emission factors'!$E$14*CropBurn!$F$10*0.000001</f>
        <v>0.67499999999999993</v>
      </c>
      <c r="T21">
        <f>((LStock_Heads!J$10*'CH4 Emission factors'!$E$18)+(LStock_Heads!J$13*'CH4 Emission factors'!$E$20))*CropBurn!$F$10*0.000001</f>
        <v>3.5153749999999997</v>
      </c>
      <c r="U21">
        <f>LStock_Heads!J$15*'CH4 Emission factors'!$E$23*CropBurn!$F$10*0.000001</f>
        <v>0.1045</v>
      </c>
      <c r="V21" s="87">
        <f t="shared" si="11"/>
        <v>4.7685549999999992</v>
      </c>
    </row>
    <row r="22" spans="1:22" x14ac:dyDescent="0.25">
      <c r="A22">
        <v>2040</v>
      </c>
      <c r="B22" s="87">
        <f>LStock_Heads!K$27*'CH4 Emission factors'!$E$3*CropBurn!$F$10*0.000001</f>
        <v>0.06</v>
      </c>
      <c r="C22" s="87">
        <f>LStock_Heads!K$28*'CH4 Emission factors'!$E$4*CropBurn!$F$10*0.000001</f>
        <v>0.13749999999999998</v>
      </c>
      <c r="D22" s="87">
        <f>LStock_Heads!K$31*'CH4 Emission factors'!$E$9*CropBurn!$F$10*0.000001</f>
        <v>1.125E-2</v>
      </c>
      <c r="E22" s="87">
        <f>LStock_Heads!K$30*'CH4 Emission factors'!$E$10*CropBurn!$F$10*0.000001</f>
        <v>0.10625</v>
      </c>
      <c r="F22" s="87">
        <f>'Master Table 2006 2013'!J$44*'CH4 Emission factors'!$E$11*CropBurn!$F$10*0.000001</f>
        <v>3.5054999999999989E-2</v>
      </c>
      <c r="G22" s="87">
        <f>LStock_Heads!K$36*'CH4 Emission factors'!$E$14*CropBurn!$F$10*0.000001</f>
        <v>0.57499999999999996</v>
      </c>
      <c r="H22" s="87">
        <f>((LStock_Heads!K$32*'CH4 Emission factors'!$E$18)+(LStock_Heads!K$35*'CH4 Emission factors'!$E$20))*CropBurn!$F$10*0.000001</f>
        <v>3.6027499999999999</v>
      </c>
      <c r="I22" s="87">
        <f>LStock_Heads!K$37*'CH4 Emission factors'!$E$23*CropBurn!$F$10*0.000001</f>
        <v>8.5249999999999992E-2</v>
      </c>
      <c r="J22" s="87">
        <f t="shared" si="1"/>
        <v>4.6130550000000001</v>
      </c>
      <c r="M22">
        <f t="shared" si="2"/>
        <v>2040</v>
      </c>
      <c r="N22" s="87">
        <f>LStock_Heads!K$5*'CH4 Emission factors'!$E$3*CropBurn!$F$10*0.000001</f>
        <v>9.9999999999999992E-2</v>
      </c>
      <c r="O22" s="87">
        <f>LStock_Heads!K$6*'CH4 Emission factors'!$E$4*CropBurn!$F$10*0.000001</f>
        <v>0.19999999999999998</v>
      </c>
      <c r="P22">
        <f>LStock_Heads!K$9*'CH4 Emission factors'!$E$9*CropBurn!$F$10*0.000001</f>
        <v>2.2499999999999999E-2</v>
      </c>
      <c r="Q22">
        <f>LStock_Heads!K$8*'CH4 Emission factors'!$E$10*CropBurn!$F$10*0.000001</f>
        <v>0.14874999999999999</v>
      </c>
      <c r="R22" s="87">
        <f t="shared" si="7"/>
        <v>3.5054999999999989E-2</v>
      </c>
      <c r="S22" s="87">
        <f>LStock_Heads!K$14*'CH4 Emission factors'!$E$14*CropBurn!$F$10*0.000001</f>
        <v>0.75</v>
      </c>
      <c r="T22">
        <f>((LStock_Heads!K$10*'CH4 Emission factors'!$E$18)+(LStock_Heads!K$13*'CH4 Emission factors'!$E$20))*CropBurn!$F$10*0.000001</f>
        <v>3.6027499999999999</v>
      </c>
      <c r="U22">
        <f>LStock_Heads!K$15*'CH4 Emission factors'!$E$23*CropBurn!$F$10*0.000001</f>
        <v>0.11</v>
      </c>
      <c r="V22" s="87">
        <f t="shared" si="11"/>
        <v>4.969055</v>
      </c>
    </row>
    <row r="23" spans="1:22" x14ac:dyDescent="0.25">
      <c r="A23">
        <v>2045</v>
      </c>
      <c r="B23" s="87">
        <f>LStock_Heads!L$27*'CH4 Emission factors'!$E$3*CropBurn!$F$10*0.000001</f>
        <v>6.0624999999999998E-2</v>
      </c>
      <c r="C23" s="87">
        <f>LStock_Heads!L$28*'CH4 Emission factors'!$E$4*CropBurn!$F$10*0.000001</f>
        <v>0.137875</v>
      </c>
      <c r="D23" s="87">
        <f>LStock_Heads!L$31*'CH4 Emission factors'!$E$9*CropBurn!$F$10*0.000001</f>
        <v>1.125E-2</v>
      </c>
      <c r="E23" s="87">
        <f>LStock_Heads!L$30*'CH4 Emission factors'!$E$10*CropBurn!$F$10*0.000001</f>
        <v>0.10582499999999999</v>
      </c>
      <c r="F23" s="87">
        <f>'Master Table 2006 2013'!J$44*'CH4 Emission factors'!$E$11*CropBurn!$F$10*0.000001</f>
        <v>3.5054999999999989E-2</v>
      </c>
      <c r="G23" s="87">
        <f>LStock_Heads!L$36*'CH4 Emission factors'!$E$14*CropBurn!$F$10*0.000001</f>
        <v>0.57499999999999996</v>
      </c>
      <c r="H23" s="87">
        <f>((LStock_Heads!L$32*'CH4 Emission factors'!$E$18)+(LStock_Heads!L$35*'CH4 Emission factors'!$E$20))*CropBurn!$F$10*0.000001</f>
        <v>3.7124999999999999</v>
      </c>
      <c r="I23" s="87">
        <f>LStock_Heads!L$37*'CH4 Emission factors'!$E$23*CropBurn!$F$10*0.000001</f>
        <v>8.6624999999999994E-2</v>
      </c>
      <c r="J23" s="87">
        <f t="shared" si="1"/>
        <v>4.724755</v>
      </c>
      <c r="M23">
        <f t="shared" si="2"/>
        <v>2045</v>
      </c>
      <c r="N23" s="87">
        <f>LStock_Heads!L$5*'CH4 Emission factors'!$E$3*CropBurn!$F$10*0.000001</f>
        <v>0.10625</v>
      </c>
      <c r="O23" s="87">
        <f>LStock_Heads!L$6*'CH4 Emission factors'!$E$4*CropBurn!$F$10*0.000001</f>
        <v>0.21249999999999999</v>
      </c>
      <c r="P23">
        <f>LStock_Heads!L$9*'CH4 Emission factors'!$E$9*CropBurn!$F$10*0.000001</f>
        <v>2.6249999999999999E-2</v>
      </c>
      <c r="Q23">
        <f>LStock_Heads!L$8*'CH4 Emission factors'!$E$10*CropBurn!$F$10*0.000001</f>
        <v>0.15937500000000002</v>
      </c>
      <c r="R23" s="87">
        <f t="shared" si="7"/>
        <v>3.5054999999999989E-2</v>
      </c>
      <c r="S23" s="87">
        <f>LStock_Heads!L$14*'CH4 Emission factors'!$E$14*CropBurn!$F$10*0.000001</f>
        <v>0.8125</v>
      </c>
      <c r="T23">
        <f>((LStock_Heads!L$10*'CH4 Emission factors'!$E$18)+(LStock_Heads!L$13*'CH4 Emission factors'!$E$20))*CropBurn!$F$10*0.000001</f>
        <v>3.7124999999999999</v>
      </c>
      <c r="U23">
        <f>LStock_Heads!L$15*'CH4 Emission factors'!$E$23*CropBurn!$F$10*0.000001</f>
        <v>0.11549999999999999</v>
      </c>
      <c r="V23" s="87">
        <f t="shared" si="11"/>
        <v>5.1799299999999997</v>
      </c>
    </row>
    <row r="24" spans="1:22" x14ac:dyDescent="0.25">
      <c r="A24">
        <v>2050</v>
      </c>
      <c r="B24" s="87">
        <f>LStock_Heads!M$27*'CH4 Emission factors'!$E$3*CropBurn!$F$10*0.000001</f>
        <v>6.1249999999999999E-2</v>
      </c>
      <c r="C24" s="87">
        <f>LStock_Heads!M$28*'CH4 Emission factors'!$E$4*CropBurn!$F$10*0.000001</f>
        <v>0.13824999999999998</v>
      </c>
      <c r="D24" s="87">
        <f>LStock_Heads!M$31*'CH4 Emission factors'!$E$9*CropBurn!$F$10*0.000001</f>
        <v>1.125E-2</v>
      </c>
      <c r="E24" s="87">
        <f>LStock_Heads!M$30*'CH4 Emission factors'!$E$10*CropBurn!$F$10*0.000001</f>
        <v>0.10539999999999999</v>
      </c>
      <c r="F24" s="87">
        <f>'Master Table 2006 2013'!J$44*'CH4 Emission factors'!$E$11*CropBurn!$F$10*0.000001</f>
        <v>3.5054999999999989E-2</v>
      </c>
      <c r="G24" s="87">
        <f>LStock_Heads!M$36*'CH4 Emission factors'!$E$14*CropBurn!$F$10*0.000001</f>
        <v>0.57499999999999996</v>
      </c>
      <c r="H24" s="87">
        <f>((LStock_Heads!M$32*'CH4 Emission factors'!$E$18)+(LStock_Heads!M$35*'CH4 Emission factors'!$E$20))*CropBurn!$F$10*0.000001</f>
        <v>3.8222499999999999</v>
      </c>
      <c r="I24" s="87">
        <f>LStock_Heads!M$37*'CH4 Emission factors'!$E$23*CropBurn!$F$10*0.000001</f>
        <v>8.7999999999999995E-2</v>
      </c>
      <c r="J24" s="87">
        <f t="shared" si="1"/>
        <v>4.8364549999999999</v>
      </c>
      <c r="M24">
        <f t="shared" si="2"/>
        <v>2050</v>
      </c>
      <c r="N24" s="87">
        <f>LStock_Heads!M$5*'CH4 Emission factors'!$E$3*CropBurn!$F$10*0.000001</f>
        <v>0.11249999999999999</v>
      </c>
      <c r="O24" s="87">
        <f>LStock_Heads!M$6*'CH4 Emission factors'!$E$4*CropBurn!$F$10*0.000001</f>
        <v>0.22499999999999998</v>
      </c>
      <c r="P24">
        <f>LStock_Heads!M$9*'CH4 Emission factors'!$E$9*CropBurn!$F$10*0.000001</f>
        <v>0.03</v>
      </c>
      <c r="Q24">
        <f>LStock_Heads!M$8*'CH4 Emission factors'!$E$10*CropBurn!$F$10*0.000001</f>
        <v>0.17</v>
      </c>
      <c r="R24" s="87">
        <f t="shared" si="7"/>
        <v>3.5054999999999989E-2</v>
      </c>
      <c r="S24" s="87">
        <f>LStock_Heads!M$14*'CH4 Emission factors'!$E$14*CropBurn!$F$10*0.000001</f>
        <v>0.875</v>
      </c>
      <c r="T24">
        <f>((LStock_Heads!M$10*'CH4 Emission factors'!$E$18)+(LStock_Heads!M$13*'CH4 Emission factors'!$E$20))*CropBurn!$F$10*0.000001</f>
        <v>3.8222499999999999</v>
      </c>
      <c r="U24">
        <f>LStock_Heads!M$15*'CH4 Emission factors'!$E$23*CropBurn!$F$10*0.000001</f>
        <v>0.121</v>
      </c>
      <c r="V24" s="87">
        <f t="shared" si="11"/>
        <v>5.3908050000000003</v>
      </c>
    </row>
  </sheetData>
  <mergeCells count="2">
    <mergeCell ref="B7:I7"/>
    <mergeCell ref="N7:U7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4"/>
  <sheetViews>
    <sheetView topLeftCell="N1" workbookViewId="0">
      <selection activeCell="AG9" sqref="AG9"/>
    </sheetView>
  </sheetViews>
  <sheetFormatPr defaultRowHeight="15" x14ac:dyDescent="0.25"/>
  <cols>
    <col min="8" max="8" width="11.5703125" bestFit="1" customWidth="1"/>
  </cols>
  <sheetData>
    <row r="1" spans="1:33" x14ac:dyDescent="0.25">
      <c r="A1" s="4" t="s">
        <v>254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33" x14ac:dyDescent="0.25">
      <c r="A2" s="4" t="s">
        <v>255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3" x14ac:dyDescent="0.25">
      <c r="A3" s="4" t="s">
        <v>256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5" spans="1:33" x14ac:dyDescent="0.25">
      <c r="A5" s="5" t="s">
        <v>252</v>
      </c>
      <c r="B5" s="86"/>
      <c r="C5" s="86"/>
      <c r="D5" s="86"/>
      <c r="E5" s="86"/>
      <c r="F5" s="86"/>
      <c r="G5" s="86"/>
      <c r="L5" s="88"/>
      <c r="M5" s="28"/>
      <c r="N5" s="28"/>
      <c r="O5" s="28"/>
      <c r="P5" s="28"/>
      <c r="Q5" s="28"/>
      <c r="R5" s="88"/>
      <c r="S5" s="88"/>
      <c r="T5" s="88"/>
      <c r="U5" s="88"/>
    </row>
    <row r="6" spans="1:33" x14ac:dyDescent="0.25">
      <c r="A6" s="90" t="s">
        <v>225</v>
      </c>
      <c r="B6">
        <v>298</v>
      </c>
      <c r="C6" t="s">
        <v>35</v>
      </c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33" x14ac:dyDescent="0.25">
      <c r="C7" s="191" t="s">
        <v>377</v>
      </c>
      <c r="D7" s="191"/>
      <c r="E7" s="191"/>
      <c r="F7" s="191"/>
      <c r="G7" s="191"/>
      <c r="L7" s="88"/>
      <c r="M7" s="88"/>
      <c r="N7" s="194" t="s">
        <v>378</v>
      </c>
      <c r="O7" s="194"/>
      <c r="P7" s="194"/>
      <c r="Q7" s="194"/>
      <c r="R7" s="194"/>
      <c r="S7" s="194"/>
      <c r="T7" s="194"/>
      <c r="U7" s="88"/>
      <c r="Y7" s="194" t="s">
        <v>380</v>
      </c>
      <c r="Z7" s="194"/>
      <c r="AA7" s="194"/>
      <c r="AB7" s="194"/>
      <c r="AC7" s="194"/>
      <c r="AD7" s="194"/>
      <c r="AE7" s="194"/>
      <c r="AF7" s="194"/>
      <c r="AG7" s="194"/>
    </row>
    <row r="8" spans="1:33" ht="30" x14ac:dyDescent="0.25">
      <c r="A8" s="3" t="s">
        <v>0</v>
      </c>
      <c r="B8" s="3" t="s">
        <v>211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217</v>
      </c>
      <c r="H8" s="3" t="s">
        <v>222</v>
      </c>
      <c r="I8" s="3" t="s">
        <v>218</v>
      </c>
      <c r="J8" s="3" t="s">
        <v>131</v>
      </c>
      <c r="L8" s="89"/>
      <c r="M8" s="3" t="s">
        <v>0</v>
      </c>
      <c r="N8" s="3" t="s">
        <v>211</v>
      </c>
      <c r="O8" s="3" t="s">
        <v>213</v>
      </c>
      <c r="P8" s="3" t="s">
        <v>214</v>
      </c>
      <c r="Q8" s="3" t="s">
        <v>215</v>
      </c>
      <c r="R8" s="3" t="s">
        <v>216</v>
      </c>
      <c r="S8" s="3" t="s">
        <v>217</v>
      </c>
      <c r="T8" s="3" t="s">
        <v>222</v>
      </c>
      <c r="U8" s="3" t="s">
        <v>218</v>
      </c>
      <c r="V8" s="3" t="s">
        <v>131</v>
      </c>
      <c r="X8" s="3" t="s">
        <v>0</v>
      </c>
      <c r="Y8" s="3" t="s">
        <v>211</v>
      </c>
      <c r="Z8" s="3" t="s">
        <v>213</v>
      </c>
      <c r="AA8" s="3" t="s">
        <v>214</v>
      </c>
      <c r="AB8" s="3" t="s">
        <v>215</v>
      </c>
      <c r="AC8" s="3" t="s">
        <v>216</v>
      </c>
      <c r="AD8" s="3" t="s">
        <v>217</v>
      </c>
      <c r="AE8" s="3" t="s">
        <v>222</v>
      </c>
      <c r="AF8" s="3" t="s">
        <v>218</v>
      </c>
      <c r="AG8" s="3" t="s">
        <v>131</v>
      </c>
    </row>
    <row r="9" spans="1:33" x14ac:dyDescent="0.25">
      <c r="A9">
        <v>2006</v>
      </c>
      <c r="B9" s="94">
        <f>'Ls2006'!H$4</f>
        <v>0.5582421356285715</v>
      </c>
      <c r="C9" s="94">
        <f>'Ls2006'!H$9</f>
        <v>3.7866166721625003</v>
      </c>
      <c r="D9" s="87">
        <f>'Master Table 2006 2013'!C$17*MMS!$J$29*MMS!$K$29*$B$6*365*0.001*(44/28)*0.000001*((MMS!$C$29*N2OEF!$C$28)+(MMS!$E$29*N2OEF!$E$28))</f>
        <v>5.9218208925002666E-2</v>
      </c>
      <c r="E9" s="87">
        <f>'Master Table 2006 2013'!C$12*MMS!$J$30*MMS!$K$30*$B$6*365*0.001*(44/28)*0.000001*((MMS!$C$30*N2OEF!$C$29)+(MMS!$E$30*N2OEF!$E$29))</f>
        <v>0.93981099248779287</v>
      </c>
      <c r="F9" s="91"/>
      <c r="G9" s="99">
        <f>'Ls2006'!$C$34</f>
        <v>1.2645469637153572</v>
      </c>
      <c r="H9" s="94">
        <f>(('Master Table 2006 2013'!C$25*MMS!$J$32*MMS!$K$32*N2OEF!$H$31)+(('Master Table 2006 2013'!C$26*MMS!$J$33*MMS!$K$33)+('Master Table 2006 2013'!C$40*MMS!$J$35*MMS!$K$35)+('Master Table 2006 2013'!C$32*MMS!$J$34*MMS!$K$34))*N2OEF!$H$32)*$B$6*365*0.001*0.000001*44/28</f>
        <v>3.5285347886263096</v>
      </c>
      <c r="I9" s="91"/>
      <c r="J9" s="87">
        <f>SUM(B9:I9)</f>
        <v>10.136969761545535</v>
      </c>
      <c r="L9" s="88"/>
      <c r="M9" s="88">
        <f>A9</f>
        <v>2006</v>
      </c>
      <c r="N9" s="94">
        <f>B9</f>
        <v>0.5582421356285715</v>
      </c>
      <c r="O9" s="94">
        <f>C9</f>
        <v>3.7866166721625003</v>
      </c>
      <c r="P9" s="94">
        <f>D9</f>
        <v>5.9218208925002666E-2</v>
      </c>
      <c r="Q9" s="94">
        <f>E9</f>
        <v>0.93981099248779287</v>
      </c>
      <c r="R9" s="88"/>
      <c r="S9" s="94">
        <f>G9</f>
        <v>1.2645469637153572</v>
      </c>
      <c r="T9" s="94">
        <f>H9</f>
        <v>3.5285347886263096</v>
      </c>
      <c r="U9" s="88"/>
      <c r="V9" s="87">
        <f>SUM(N9:U9)</f>
        <v>10.136969761545535</v>
      </c>
      <c r="X9">
        <f>M9</f>
        <v>2006</v>
      </c>
      <c r="Y9" s="87">
        <f>N9</f>
        <v>0.5582421356285715</v>
      </c>
      <c r="Z9" s="87">
        <f>O9</f>
        <v>3.7866166721625003</v>
      </c>
      <c r="AA9" s="87">
        <f>P9</f>
        <v>5.9218208925002666E-2</v>
      </c>
      <c r="AB9" s="87">
        <f>Q9</f>
        <v>0.93981099248779287</v>
      </c>
      <c r="AD9" s="87">
        <f>S9</f>
        <v>1.2645469637153572</v>
      </c>
      <c r="AE9" s="87">
        <f>T9</f>
        <v>3.5285347886263096</v>
      </c>
      <c r="AG9">
        <f>SUM(Y9:AF9)</f>
        <v>10.136969761545535</v>
      </c>
    </row>
    <row r="10" spans="1:33" x14ac:dyDescent="0.25">
      <c r="A10">
        <v>2007</v>
      </c>
      <c r="B10" s="94">
        <f>'Ls2007'!H$4</f>
        <v>0.53977547579999996</v>
      </c>
      <c r="C10" s="94">
        <f>'Ls2007'!H$9</f>
        <v>2.8724546232839288</v>
      </c>
      <c r="D10" s="87">
        <f>'Master Table 2006 2013'!D$17*MMS!$J$29*MMS!$K$29*$B$6*365*0.001*(44/28)*0.000001*((MMS!$C$29*N2OEF!$C$28)+(MMS!$E$29*N2OEF!$E$28))</f>
        <v>5.5186133654820523E-2</v>
      </c>
      <c r="E10" s="87">
        <f>'Master Table 2006 2013'!D$12*MMS!$J$30*MMS!$K$30*$B$6*365*0.001*(44/28)*0.000001*((MMS!$C$30*N2OEF!$C$29)+(MMS!$E$30*N2OEF!$E$29))</f>
        <v>0.96864049007785724</v>
      </c>
      <c r="F10" s="91"/>
      <c r="G10" s="99">
        <f>'Ls2007'!$C$34</f>
        <v>1.4163775624051427</v>
      </c>
      <c r="H10" s="94">
        <f>(('Master Table 2006 2013'!D$25*MMS!$J$32*MMS!$K$32)*N2OEF!$H$31+(('Master Table 2006 2013'!D$26*MMS!$J$33*MMS!$K$33)+('Master Table 2006 2013'!D$40*MMS!$J$35*MMS!$K$35)+('Master Table 2006 2013'!D$32*MMS!$J$34*MMS!$K$34))*N2OEF!$H$32)*$B$6*365*0.001*0.000001*44/28</f>
        <v>3.5718014356361074</v>
      </c>
      <c r="I10" s="91"/>
      <c r="J10" s="87">
        <f t="shared" ref="J10:J24" si="0">SUM(B10:I10)</f>
        <v>9.4242357208578564</v>
      </c>
      <c r="L10" s="88"/>
      <c r="M10" s="88">
        <f t="shared" ref="M10:M24" si="1">A10</f>
        <v>2007</v>
      </c>
      <c r="N10" s="94">
        <f t="shared" ref="N10:N16" si="2">B10</f>
        <v>0.53977547579999996</v>
      </c>
      <c r="O10" s="94">
        <f t="shared" ref="O10:O16" si="3">C10</f>
        <v>2.8724546232839288</v>
      </c>
      <c r="P10" s="94">
        <f t="shared" ref="P10:P16" si="4">D10</f>
        <v>5.5186133654820523E-2</v>
      </c>
      <c r="Q10" s="94">
        <f t="shared" ref="Q10:Q16" si="5">E10</f>
        <v>0.96864049007785724</v>
      </c>
      <c r="R10" s="88"/>
      <c r="S10" s="94">
        <f t="shared" ref="S10:S16" si="6">G10</f>
        <v>1.4163775624051427</v>
      </c>
      <c r="T10" s="94">
        <f t="shared" ref="T10:T16" si="7">H10</f>
        <v>3.5718014356361074</v>
      </c>
      <c r="U10" s="88"/>
      <c r="V10" s="87">
        <f t="shared" ref="V10:V24" si="8">SUM(N10:U10)</f>
        <v>9.4242357208578564</v>
      </c>
      <c r="X10">
        <f t="shared" ref="X10:X24" si="9">M10</f>
        <v>2007</v>
      </c>
      <c r="Y10" s="87">
        <f t="shared" ref="Y10:Y16" si="10">N10</f>
        <v>0.53977547579999996</v>
      </c>
      <c r="Z10" s="87">
        <f t="shared" ref="Z10:Z16" si="11">O10</f>
        <v>2.8724546232839288</v>
      </c>
      <c r="AA10" s="87">
        <f t="shared" ref="AA10:AA24" si="12">P10</f>
        <v>5.5186133654820523E-2</v>
      </c>
      <c r="AB10" s="87">
        <f t="shared" ref="AB10:AB24" si="13">Q10</f>
        <v>0.96864049007785724</v>
      </c>
      <c r="AD10" s="87">
        <f t="shared" ref="AD10:AD16" si="14">S10</f>
        <v>1.4163775624051427</v>
      </c>
      <c r="AE10" s="87">
        <f t="shared" ref="AE10:AE24" si="15">T10</f>
        <v>3.5718014356361074</v>
      </c>
      <c r="AG10">
        <f t="shared" ref="AG10:AG24" si="16">SUM(Y10:AF10)</f>
        <v>9.4242357208578564</v>
      </c>
    </row>
    <row r="11" spans="1:33" x14ac:dyDescent="0.25">
      <c r="A11">
        <v>2008</v>
      </c>
      <c r="B11" s="94">
        <f>'Ls2008'!H$4</f>
        <v>0.6131430162</v>
      </c>
      <c r="C11" s="94">
        <f>'Ls2008'!H$9</f>
        <v>3.1152194545607141</v>
      </c>
      <c r="D11" s="87">
        <f>'Master Table 2006 2013'!E$17*MMS!$J$29*MMS!$K$29*$B$6*365*0.001*(44/28)*0.000001*((MMS!$C$29*N2OEF!$C$28)+(MMS!$E$29*N2OEF!$E$28))</f>
        <v>7.656308444069998E-2</v>
      </c>
      <c r="E11" s="87">
        <f>'Master Table 2006 2013'!E$12*MMS!$J$30*MMS!$K$30*$B$6*365*0.001*(44/28)*0.000001*((MMS!$C$30*N2OEF!$C$29)+(MMS!$E$30*N2OEF!$E$29))</f>
        <v>1.0183168156065534</v>
      </c>
      <c r="F11" s="91"/>
      <c r="G11" s="99">
        <f>'Ls2008'!$C$35</f>
        <v>0.60253015637571439</v>
      </c>
      <c r="H11" s="94">
        <f>(('Master Table 2006 2013'!E$25*MMS!$J$32*MMS!$K$32)*N2OEF!$H$31+(('Master Table 2006 2013'!E$26*MMS!$J$33*MMS!$K$33)+('Master Table 2006 2013'!E$40*MMS!$J$35*MMS!$K$35)+('Master Table 2006 2013'!E$32*MMS!$J$34*MMS!$K$34))*N2OEF!$H$32)*$B$6*365*0.001*0.000001*44/28</f>
        <v>3.662616642248012</v>
      </c>
      <c r="I11" s="91"/>
      <c r="J11" s="87">
        <f t="shared" si="0"/>
        <v>9.0883891694316929</v>
      </c>
      <c r="L11" s="88"/>
      <c r="M11" s="88">
        <f t="shared" si="1"/>
        <v>2008</v>
      </c>
      <c r="N11" s="94">
        <f t="shared" si="2"/>
        <v>0.6131430162</v>
      </c>
      <c r="O11" s="94">
        <f t="shared" si="3"/>
        <v>3.1152194545607141</v>
      </c>
      <c r="P11" s="94">
        <f t="shared" si="4"/>
        <v>7.656308444069998E-2</v>
      </c>
      <c r="Q11" s="94">
        <f t="shared" si="5"/>
        <v>1.0183168156065534</v>
      </c>
      <c r="R11" s="88"/>
      <c r="S11" s="94">
        <f t="shared" si="6"/>
        <v>0.60253015637571439</v>
      </c>
      <c r="T11" s="94">
        <f t="shared" si="7"/>
        <v>3.662616642248012</v>
      </c>
      <c r="U11" s="88"/>
      <c r="V11" s="87">
        <f t="shared" si="8"/>
        <v>9.0883891694316929</v>
      </c>
      <c r="X11">
        <f t="shared" si="9"/>
        <v>2008</v>
      </c>
      <c r="Y11" s="87">
        <f t="shared" si="10"/>
        <v>0.6131430162</v>
      </c>
      <c r="Z11" s="87">
        <f t="shared" si="11"/>
        <v>3.1152194545607141</v>
      </c>
      <c r="AA11" s="87">
        <f t="shared" si="12"/>
        <v>7.656308444069998E-2</v>
      </c>
      <c r="AB11" s="87">
        <f t="shared" si="13"/>
        <v>1.0183168156065534</v>
      </c>
      <c r="AD11" s="87">
        <f t="shared" si="14"/>
        <v>0.60253015637571439</v>
      </c>
      <c r="AE11" s="87">
        <f t="shared" si="15"/>
        <v>3.662616642248012</v>
      </c>
      <c r="AG11">
        <f t="shared" si="16"/>
        <v>9.0883891694316929</v>
      </c>
    </row>
    <row r="12" spans="1:33" x14ac:dyDescent="0.25">
      <c r="A12">
        <v>2009</v>
      </c>
      <c r="B12" s="94">
        <f>'Ls2009'!H$4</f>
        <v>0.53927637688571428</v>
      </c>
      <c r="C12" s="94">
        <f>'Ls2009'!H$9</f>
        <v>3.0538224896830362</v>
      </c>
      <c r="D12" s="87">
        <f>'Master Table 2006 2013'!F$17*MMS!$J$29*MMS!$K$29*$B$6*365*0.001*(44/28)*0.000001*((MMS!$C$29*N2OEF!$C$28)+(MMS!$E$29*N2OEF!$E$28))</f>
        <v>9.8704739157131238E-2</v>
      </c>
      <c r="E12" s="87">
        <f>'Master Table 2006 2013'!F$12*MMS!$J$30*MMS!$K$30*$B$6*365*0.001*(44/28)*0.000001*((MMS!$C$30*N2OEF!$C$29)+(MMS!$E$30*N2OEF!$E$29))</f>
        <v>1.0220784333199984</v>
      </c>
      <c r="F12" s="91"/>
      <c r="G12" s="99">
        <f>'Ls2009'!$C$35</f>
        <v>1.1055432880815714</v>
      </c>
      <c r="H12" s="94">
        <f>(('Master Table 2006 2013'!F$25*MMS!$J$32*MMS!$K$32)*N2OEF!$H$31+(('Master Table 2006 2013'!F$26*MMS!$J$33*MMS!$K$33)+('Master Table 2006 2013'!F$40*MMS!$J$35*MMS!$K$35)+('Master Table 2006 2013'!F$32*MMS!$J$34*MMS!$K$34))*N2OEF!$H$32)*$B$6*365*0.001*0.000001*44/28</f>
        <v>3.4138250320518924</v>
      </c>
      <c r="I12" s="91"/>
      <c r="J12" s="87">
        <f t="shared" si="0"/>
        <v>9.233250359179344</v>
      </c>
      <c r="L12" s="88"/>
      <c r="M12" s="88">
        <f t="shared" si="1"/>
        <v>2009</v>
      </c>
      <c r="N12" s="94">
        <f t="shared" si="2"/>
        <v>0.53927637688571428</v>
      </c>
      <c r="O12" s="94">
        <f t="shared" si="3"/>
        <v>3.0538224896830362</v>
      </c>
      <c r="P12" s="94">
        <f t="shared" si="4"/>
        <v>9.8704739157131238E-2</v>
      </c>
      <c r="Q12" s="94">
        <f t="shared" si="5"/>
        <v>1.0220784333199984</v>
      </c>
      <c r="R12" s="88"/>
      <c r="S12" s="94">
        <f t="shared" si="6"/>
        <v>1.1055432880815714</v>
      </c>
      <c r="T12" s="94">
        <f t="shared" si="7"/>
        <v>3.4138250320518924</v>
      </c>
      <c r="U12" s="88"/>
      <c r="V12" s="87">
        <f t="shared" si="8"/>
        <v>9.233250359179344</v>
      </c>
      <c r="X12">
        <f t="shared" si="9"/>
        <v>2009</v>
      </c>
      <c r="Y12" s="87">
        <f t="shared" si="10"/>
        <v>0.53927637688571428</v>
      </c>
      <c r="Z12" s="87">
        <f t="shared" si="11"/>
        <v>3.0538224896830362</v>
      </c>
      <c r="AA12" s="87">
        <f t="shared" si="12"/>
        <v>9.8704739157131238E-2</v>
      </c>
      <c r="AB12" s="87">
        <f t="shared" si="13"/>
        <v>1.0220784333199984</v>
      </c>
      <c r="AD12" s="87">
        <f t="shared" si="14"/>
        <v>1.1055432880815714</v>
      </c>
      <c r="AE12" s="87">
        <f t="shared" si="15"/>
        <v>3.4138250320518924</v>
      </c>
      <c r="AG12">
        <f t="shared" si="16"/>
        <v>9.233250359179344</v>
      </c>
    </row>
    <row r="13" spans="1:33" x14ac:dyDescent="0.25">
      <c r="A13">
        <v>2010</v>
      </c>
      <c r="B13" s="94">
        <f>'Ls2010'!H$4</f>
        <v>0.66241905200742845</v>
      </c>
      <c r="C13" s="94">
        <f>'Ls2010'!H$9</f>
        <v>3.0296080819828219</v>
      </c>
      <c r="D13" s="87">
        <f>'Master Table 2006 2013'!G$17*MMS!$J$29*MMS!$K$29*$B$6*365*0.001*(44/28)*0.000001*((MMS!$C$29*N2OEF!$C$28)+(MMS!$E$29*N2OEF!$E$28))</f>
        <v>9.7140572026457137E-2</v>
      </c>
      <c r="E13" s="87">
        <f>'Master Table 2006 2013'!G$12*MMS!$J$30*MMS!$K$30*$B$6*365*0.001*(44/28)*0.000001*((MMS!$C$30*N2OEF!$C$29)+(MMS!$E$30*N2OEF!$E$29))</f>
        <v>1.082245173642423</v>
      </c>
      <c r="F13" s="91"/>
      <c r="G13" s="99">
        <f>'Ls2010'!$C$38</f>
        <v>1.1018857519343928</v>
      </c>
      <c r="H13" s="94">
        <f>(('Master Table 2006 2013'!G$25*MMS!$J$32*MMS!$K$32)*N2OEF!$H$31+(('Master Table 2006 2013'!G$26*MMS!$J$33*MMS!$K$33)+('Master Table 2006 2013'!G$40*MMS!$J$35*MMS!$K$35)+('Master Table 2006 2013'!G$32*MMS!$J$34*MMS!$K$34))*N2OEF!$H$32)*$B$6*365*0.001*0.000001*44/28</f>
        <v>3.6286993855912377</v>
      </c>
      <c r="I13" s="91"/>
      <c r="J13" s="87">
        <f t="shared" si="0"/>
        <v>9.6019980171847621</v>
      </c>
      <c r="L13" s="88"/>
      <c r="M13" s="88">
        <f t="shared" si="1"/>
        <v>2010</v>
      </c>
      <c r="N13" s="94">
        <f t="shared" si="2"/>
        <v>0.66241905200742845</v>
      </c>
      <c r="O13" s="94">
        <f t="shared" si="3"/>
        <v>3.0296080819828219</v>
      </c>
      <c r="P13" s="94">
        <f t="shared" si="4"/>
        <v>9.7140572026457137E-2</v>
      </c>
      <c r="Q13" s="94">
        <f t="shared" si="5"/>
        <v>1.082245173642423</v>
      </c>
      <c r="R13" s="88"/>
      <c r="S13" s="94">
        <f t="shared" si="6"/>
        <v>1.1018857519343928</v>
      </c>
      <c r="T13" s="94">
        <f t="shared" si="7"/>
        <v>3.6286993855912377</v>
      </c>
      <c r="U13" s="88"/>
      <c r="V13" s="87">
        <f t="shared" si="8"/>
        <v>9.6019980171847621</v>
      </c>
      <c r="X13">
        <f t="shared" si="9"/>
        <v>2010</v>
      </c>
      <c r="Y13" s="87">
        <f t="shared" si="10"/>
        <v>0.66241905200742845</v>
      </c>
      <c r="Z13" s="87">
        <f t="shared" si="11"/>
        <v>3.0296080819828219</v>
      </c>
      <c r="AA13" s="87">
        <f t="shared" si="12"/>
        <v>9.7140572026457137E-2</v>
      </c>
      <c r="AB13" s="87">
        <f t="shared" si="13"/>
        <v>1.082245173642423</v>
      </c>
      <c r="AD13" s="87">
        <f t="shared" si="14"/>
        <v>1.1018857519343928</v>
      </c>
      <c r="AE13" s="87">
        <f t="shared" si="15"/>
        <v>3.6286993855912377</v>
      </c>
      <c r="AG13">
        <f t="shared" si="16"/>
        <v>9.6019980171847621</v>
      </c>
    </row>
    <row r="14" spans="1:33" x14ac:dyDescent="0.25">
      <c r="A14">
        <v>2011</v>
      </c>
      <c r="B14" s="94">
        <f>'Ls2011'!H$4</f>
        <v>0.62378630054714279</v>
      </c>
      <c r="C14" s="94">
        <f>'Ls2011'!H$9</f>
        <v>2.7979301092132496</v>
      </c>
      <c r="D14" s="87">
        <f>'Master Table 2006 2013'!H$17*MMS!$J$29*MMS!$K$29*$B$6*365*0.001*(44/28)*0.000001*((MMS!$C$29*N2OEF!$C$28)+(MMS!$E$29*N2OEF!$E$28))</f>
        <v>9.2390138518483933E-2</v>
      </c>
      <c r="E14" s="87">
        <f>'Master Table 2006 2013'!H$12*MMS!$J$30*MMS!$K$30*$B$6*365*0.001*(44/28)*0.000001*((MMS!$C$30*N2OEF!$C$29)+(MMS!$E$30*N2OEF!$E$29))</f>
        <v>1.082867324154825</v>
      </c>
      <c r="F14" s="91"/>
      <c r="G14" s="99">
        <f>'Ls2011'!$C$39</f>
        <v>1.23275202548575</v>
      </c>
      <c r="H14" s="94">
        <f>(('Master Table 2006 2013'!H$25*MMS!$J$32*MMS!$K$32)*N2OEF!$H$31+(('Master Table 2006 2013'!H$26*MMS!$J$33*MMS!$K$33)+('Master Table 2006 2013'!H$40*MMS!$J$35*MMS!$K$35)+('Master Table 2006 2013'!H$32*MMS!$J$34*MMS!$K$34))*N2OEF!$H$32)*$B$6*365*0.001*0.000001*44/28</f>
        <v>3.6785098418165956</v>
      </c>
      <c r="I14" s="91"/>
      <c r="J14" s="87">
        <f t="shared" si="0"/>
        <v>9.5082357397360457</v>
      </c>
      <c r="L14" s="88"/>
      <c r="M14" s="88">
        <f t="shared" si="1"/>
        <v>2011</v>
      </c>
      <c r="N14" s="94">
        <f t="shared" si="2"/>
        <v>0.62378630054714279</v>
      </c>
      <c r="O14" s="94">
        <f t="shared" si="3"/>
        <v>2.7979301092132496</v>
      </c>
      <c r="P14" s="94">
        <f t="shared" si="4"/>
        <v>9.2390138518483933E-2</v>
      </c>
      <c r="Q14" s="94">
        <f t="shared" si="5"/>
        <v>1.082867324154825</v>
      </c>
      <c r="R14" s="88"/>
      <c r="S14" s="94">
        <f t="shared" si="6"/>
        <v>1.23275202548575</v>
      </c>
      <c r="T14" s="94">
        <f t="shared" si="7"/>
        <v>3.6785098418165956</v>
      </c>
      <c r="U14" s="88"/>
      <c r="V14" s="87">
        <f t="shared" si="8"/>
        <v>9.5082357397360457</v>
      </c>
      <c r="X14">
        <f t="shared" si="9"/>
        <v>2011</v>
      </c>
      <c r="Y14" s="87">
        <f t="shared" si="10"/>
        <v>0.62378630054714279</v>
      </c>
      <c r="Z14" s="87">
        <f t="shared" si="11"/>
        <v>2.7979301092132496</v>
      </c>
      <c r="AA14" s="87">
        <f t="shared" si="12"/>
        <v>9.2390138518483933E-2</v>
      </c>
      <c r="AB14" s="87">
        <f t="shared" si="13"/>
        <v>1.082867324154825</v>
      </c>
      <c r="AD14" s="87">
        <f t="shared" si="14"/>
        <v>1.23275202548575</v>
      </c>
      <c r="AE14" s="87">
        <f t="shared" si="15"/>
        <v>3.6785098418165956</v>
      </c>
      <c r="AG14">
        <f t="shared" si="16"/>
        <v>9.5082357397360457</v>
      </c>
    </row>
    <row r="15" spans="1:33" x14ac:dyDescent="0.25">
      <c r="A15">
        <v>2012</v>
      </c>
      <c r="B15" s="94">
        <f>'Ls2012'!H$4</f>
        <v>0.74618781378114274</v>
      </c>
      <c r="C15" s="94">
        <f>'Ls2012'!H$9</f>
        <v>2.7108878824354639</v>
      </c>
      <c r="D15" s="87">
        <f>'Master Table 2006 2013'!I$17*MMS!$J$29*MMS!$K$29*$B$6*365*0.001*(44/28)*0.000001*((MMS!$C$29*N2OEF!$C$28)+(MMS!$E$29*N2OEF!$E$28))</f>
        <v>0.1048339570247357</v>
      </c>
      <c r="E15" s="87">
        <f>'Master Table 2006 2013'!I$12*MMS!$J$30*MMS!$K$30*$B$6*365*0.001*(44/28)*0.000001*((MMS!$C$30*N2OEF!$C$29)+(MMS!$E$30*N2OEF!$E$29))</f>
        <v>1.0539708257403482</v>
      </c>
      <c r="F15" s="91"/>
      <c r="G15" s="99">
        <f>'Ls2012'!$C$39</f>
        <v>0.8366865825654286</v>
      </c>
      <c r="H15" s="94">
        <f>(('Master Table 2006 2013'!I$25*MMS!$J$32*MMS!$K$32)*N2OEF!$H$31+(('Master Table 2006 2013'!I$26*MMS!$J$33*MMS!$K$33)+('Master Table 2006 2013'!I$40*MMS!$J$35*MMS!$K$35)+('Master Table 2006 2013'!I$32*MMS!$J$34*MMS!$K$34))*N2OEF!$H$32)*$B$6*365*0.001*0.000001*44/28</f>
        <v>3.8352265818436426</v>
      </c>
      <c r="I15" s="91"/>
      <c r="J15" s="87">
        <f t="shared" si="0"/>
        <v>9.2877936433907617</v>
      </c>
      <c r="L15" s="88"/>
      <c r="M15" s="88">
        <f t="shared" si="1"/>
        <v>2012</v>
      </c>
      <c r="N15" s="94">
        <f t="shared" si="2"/>
        <v>0.74618781378114274</v>
      </c>
      <c r="O15" s="94">
        <f t="shared" si="3"/>
        <v>2.7108878824354639</v>
      </c>
      <c r="P15" s="94">
        <f t="shared" si="4"/>
        <v>0.1048339570247357</v>
      </c>
      <c r="Q15" s="94">
        <f t="shared" si="5"/>
        <v>1.0539708257403482</v>
      </c>
      <c r="R15" s="88"/>
      <c r="S15" s="94">
        <f t="shared" si="6"/>
        <v>0.8366865825654286</v>
      </c>
      <c r="T15" s="94">
        <f t="shared" si="7"/>
        <v>3.8352265818436426</v>
      </c>
      <c r="U15" s="88"/>
      <c r="V15" s="87">
        <f t="shared" si="8"/>
        <v>9.2877936433907617</v>
      </c>
      <c r="X15">
        <f t="shared" si="9"/>
        <v>2012</v>
      </c>
      <c r="Y15" s="87">
        <f t="shared" si="10"/>
        <v>0.74618781378114274</v>
      </c>
      <c r="Z15" s="87">
        <f t="shared" si="11"/>
        <v>2.7108878824354639</v>
      </c>
      <c r="AA15" s="87">
        <f t="shared" si="12"/>
        <v>0.1048339570247357</v>
      </c>
      <c r="AB15" s="87">
        <f t="shared" si="13"/>
        <v>1.0539708257403482</v>
      </c>
      <c r="AD15" s="87">
        <f t="shared" si="14"/>
        <v>0.8366865825654286</v>
      </c>
      <c r="AE15" s="87">
        <f t="shared" si="15"/>
        <v>3.8352265818436426</v>
      </c>
      <c r="AG15">
        <f t="shared" si="16"/>
        <v>9.2877936433907617</v>
      </c>
    </row>
    <row r="16" spans="1:33" x14ac:dyDescent="0.25">
      <c r="A16">
        <v>2013</v>
      </c>
      <c r="B16" s="94">
        <f>'Ls2013'!H$4</f>
        <v>0.70822884585514267</v>
      </c>
      <c r="C16" s="94">
        <f>'Ls2013'!H$9</f>
        <v>2.6500717439192858</v>
      </c>
      <c r="D16" s="87">
        <f>'Master Table 2006 2013'!J$17*MMS!$J$29*MMS!$K$29*$B$6*365*0.001*(44/28)*0.000001*((MMS!$C$29*N2OEF!$C$28)+(MMS!$E$29*N2OEF!$E$28))</f>
        <v>0.11769488676583391</v>
      </c>
      <c r="E16" s="87">
        <f>'Master Table 2006 2013'!J$12*MMS!$J$30*MMS!$K$30*$B$6*365*0.001*(44/28)*0.000001*((MMS!$C$30*N2OEF!$C$29)+(MMS!$E$30*N2OEF!$E$29))</f>
        <v>0.99286607387614845</v>
      </c>
      <c r="F16" s="91"/>
      <c r="G16" s="99">
        <f>'Ls2013'!$C$39</f>
        <v>0.84819100482953569</v>
      </c>
      <c r="H16" s="94">
        <f>(('Master Table 2006 2013'!J$25*MMS!$J$32*MMS!$K$32)*N2OEF!$H$31+(('Master Table 2006 2013'!J$26*MMS!$J$33*MMS!$K$33)+('Master Table 2006 2013'!J$40*MMS!$J$35*MMS!$K$35)+('Master Table 2006 2013'!J$32*MMS!$J$34*MMS!$K$34))*N2OEF!$H$32)*$B$6*365*0.001*0.000001*44/28</f>
        <v>3.8234301810172027</v>
      </c>
      <c r="I16" s="91"/>
      <c r="J16" s="87">
        <f t="shared" si="0"/>
        <v>9.1404827362631487</v>
      </c>
      <c r="L16" s="88"/>
      <c r="M16" s="88">
        <f t="shared" si="1"/>
        <v>2013</v>
      </c>
      <c r="N16" s="94">
        <f t="shared" si="2"/>
        <v>0.70822884585514267</v>
      </c>
      <c r="O16" s="94">
        <f t="shared" si="3"/>
        <v>2.6500717439192858</v>
      </c>
      <c r="P16" s="94">
        <f t="shared" si="4"/>
        <v>0.11769488676583391</v>
      </c>
      <c r="Q16" s="94">
        <f t="shared" si="5"/>
        <v>0.99286607387614845</v>
      </c>
      <c r="R16" s="88"/>
      <c r="S16" s="94">
        <f t="shared" si="6"/>
        <v>0.84819100482953569</v>
      </c>
      <c r="T16" s="94">
        <f t="shared" si="7"/>
        <v>3.8234301810172027</v>
      </c>
      <c r="U16" s="88"/>
      <c r="V16" s="87">
        <f t="shared" si="8"/>
        <v>9.1404827362631487</v>
      </c>
      <c r="X16">
        <f t="shared" si="9"/>
        <v>2013</v>
      </c>
      <c r="Y16" s="87">
        <f t="shared" si="10"/>
        <v>0.70822884585514267</v>
      </c>
      <c r="Z16" s="87">
        <f t="shared" si="11"/>
        <v>2.6500717439192858</v>
      </c>
      <c r="AA16" s="87">
        <f t="shared" si="12"/>
        <v>0.11769488676583391</v>
      </c>
      <c r="AB16" s="87">
        <f t="shared" si="13"/>
        <v>0.99286607387614845</v>
      </c>
      <c r="AD16" s="87">
        <f t="shared" si="14"/>
        <v>0.84819100482953569</v>
      </c>
      <c r="AE16" s="87">
        <f t="shared" si="15"/>
        <v>3.8234301810172027</v>
      </c>
      <c r="AG16">
        <f t="shared" si="16"/>
        <v>9.1404827362631487</v>
      </c>
    </row>
    <row r="17" spans="1:33" x14ac:dyDescent="0.25">
      <c r="A17">
        <v>2015</v>
      </c>
      <c r="B17">
        <f>LStock_Heads!$F$39</f>
        <v>0.71645649145714263</v>
      </c>
      <c r="C17">
        <f>LStock_Heads!$F$42</f>
        <v>3.2490091572714284</v>
      </c>
      <c r="D17" s="87">
        <f>LStock_Heads!F$31*MMS!$J$29*MMS!$K$29*$B$6*365*0.001*(44/28)*0.000001*((MMS!$C$29*N2OEF!$C$28)+(MMS!$E$29*N2OEF!$E$28))</f>
        <v>0.12049880117785715</v>
      </c>
      <c r="E17" s="87">
        <f>LStock_Heads!F$30*MMS!$J$30*MMS!$K$30*$B$6*365*0.001*(44/28)*0.000001*((MMS!$C$30*N2OEF!$C$29)+(MMS!$E$30*N2OEF!$E$29))</f>
        <v>0.99544081984285704</v>
      </c>
      <c r="G17">
        <f>LStock_Heads!$F$44</f>
        <v>1.738037189625</v>
      </c>
      <c r="H17" s="94">
        <f>((LStock_Heads!F$32*MMS!$J$32*MMS!$K$32)*N2OEF!$H$31+((LStock_Heads!F$38*MMS!$J$33*MMS!$K$33)+(LStock_Heads!F$34*MMS!$J$35*MMS!$K$35)+(LStock_Heads!F$33*MMS!$J$34*MMS!$K$34))*N2OEF!$H$32)*$B$6*365*0.001*0.000001*44/28</f>
        <v>3.4548071249999999</v>
      </c>
      <c r="J17" s="87">
        <f t="shared" si="0"/>
        <v>10.274249584374285</v>
      </c>
      <c r="L17" s="88"/>
      <c r="M17" s="88">
        <f t="shared" si="1"/>
        <v>2015</v>
      </c>
      <c r="N17" s="94">
        <f>LStock_Heads!$F$17</f>
        <v>0.71645649145714263</v>
      </c>
      <c r="O17" s="94">
        <f>LStock_Heads!$F$20</f>
        <v>3.2490091572714284</v>
      </c>
      <c r="P17" s="87">
        <f>LStock_Heads!F9*MMS!$J$29*MMS!$K$29*$B$6*365*0.001*(44/28)*0.000001*((MMS!$C$29*N2OEF!$C$28)+(MMS!$E$29*N2OEF!$E$28))</f>
        <v>0.12049880117785715</v>
      </c>
      <c r="Q17" s="94">
        <f>LStock_Heads!F$8*MMS!$J$30*MMS!$K$30*$B$6*365*0.001*(44/28)*0.000001*((MMS!$C$30*N2OEF!$C$29)+(MMS!$E$30*N2OEF!$E$29))</f>
        <v>0.99544081984285704</v>
      </c>
      <c r="R17" s="88"/>
      <c r="S17" s="94">
        <f>LStock_Heads!$F$22</f>
        <v>1.738037189625</v>
      </c>
      <c r="T17" s="94">
        <f>((LStock_Heads!F$10*MMS!$J$32*MMS!$K$32)*N2OEF!$H$31+((LStock_Heads!F$38*MMS!$J$33*MMS!$K$33)+(LStock_Heads!F$12*MMS!$J$35*MMS!$K$35)+(LStock_Heads!F$11*MMS!$J$34*MMS!$K$34))*N2OEF!$H$32)*$B$6*365*0.001*0.000001*44/28</f>
        <v>3.4548071249999999</v>
      </c>
      <c r="U17" s="88"/>
      <c r="V17" s="87">
        <f t="shared" si="8"/>
        <v>10.274249584374285</v>
      </c>
      <c r="X17">
        <f t="shared" si="9"/>
        <v>2015</v>
      </c>
      <c r="Y17" s="87">
        <f>LStock_Heads!$O$17</f>
        <v>0.71645649145714263</v>
      </c>
      <c r="Z17" s="87">
        <f>LStock_Heads!$O$20</f>
        <v>3.2490091572714284</v>
      </c>
      <c r="AA17" s="87">
        <f t="shared" si="12"/>
        <v>0.12049880117785715</v>
      </c>
      <c r="AB17" s="87">
        <f t="shared" si="13"/>
        <v>0.99544081984285704</v>
      </c>
      <c r="AD17" s="87">
        <f>LStock_Heads!$O$22</f>
        <v>1.738037189625</v>
      </c>
      <c r="AE17" s="87">
        <f t="shared" si="15"/>
        <v>3.4548071249999999</v>
      </c>
      <c r="AG17">
        <f t="shared" si="16"/>
        <v>10.274249584374285</v>
      </c>
    </row>
    <row r="18" spans="1:33" x14ac:dyDescent="0.25">
      <c r="A18">
        <v>2020</v>
      </c>
      <c r="B18">
        <f>LStock_Heads!$G$39</f>
        <v>0.66704569894285703</v>
      </c>
      <c r="C18">
        <f>LStock_Heads!$G$42</f>
        <v>3.3367257914571424</v>
      </c>
      <c r="D18" s="87">
        <f>LStock_Heads!G$31*MMS!$J$29*MMS!$K$29*$B$6*365*0.001*(44/28)*0.000001*((MMS!$C$29*N2OEF!$C$28)+(MMS!$E$29*N2OEF!$E$28))</f>
        <v>0.12513337045392856</v>
      </c>
      <c r="E18" s="87">
        <f>LStock_Heads!G$30*MMS!$J$30*MMS!$K$30*$B$6*365*0.001*(44/28)*0.000001*((MMS!$C$30*N2OEF!$C$29)+(MMS!$E$30*N2OEF!$E$29))</f>
        <v>0.97629772715357155</v>
      </c>
      <c r="G18">
        <f>LStock_Heads!$G$44</f>
        <v>1.8208008653214287</v>
      </c>
      <c r="H18" s="94">
        <f>((LStock_Heads!G$32*MMS!$J$32*MMS!$K$32*N2OEF!$H$31)+((LStock_Heads!G$38*MMS!$J$33*MMS!$K$33)+(LStock_Heads!G$34*MMS!$J$35*MMS!$K$35)+(LStock_Heads!G$33*MMS!$J$34*MMS!$K$34))*N2OEF!$H$32)*$B$6*365*0.001*0.000001*44/28</f>
        <v>3.5891108824999995</v>
      </c>
      <c r="J18" s="87">
        <f t="shared" si="0"/>
        <v>10.515114335828928</v>
      </c>
      <c r="M18" s="88">
        <f t="shared" si="1"/>
        <v>2020</v>
      </c>
      <c r="N18" s="94">
        <f>LStock_Heads!$G$17</f>
        <v>0.71870243657142852</v>
      </c>
      <c r="O18" s="94">
        <f>LStock_Heads!$G$20</f>
        <v>3.3749068584000002</v>
      </c>
      <c r="P18" s="87">
        <f>LStock_Heads!G9*MMS!$J$29*MMS!$K$29*$B$6*365*0.001*(44/28)*0.000001*((MMS!$C$29*N2OEF!$C$28)+(MMS!$E$29*N2OEF!$E$28))</f>
        <v>0.13903707828214285</v>
      </c>
      <c r="Q18" s="94">
        <f>LStock_Heads!G$8*MMS!$J$30*MMS!$K$30*$B$6*365*0.001*(44/28)*0.000001*((MMS!$C$30*N2OEF!$C$29)+(MMS!$E$30*N2OEF!$E$29))</f>
        <v>1.0222411496078572</v>
      </c>
      <c r="S18" s="94">
        <f>LStock_Heads!$G$22</f>
        <v>1.8208008653214287</v>
      </c>
      <c r="T18" s="94">
        <f>((LStock_Heads!G$10*MMS!$J$32*MMS!$K$32)*N2OEF!$H$31+((LStock_Heads!G$38*MMS!$J$33*MMS!$K$33)+(LStock_Heads!G$12*MMS!$J$35*MMS!$K$35)+(LStock_Heads!G$11*MMS!$J$34*MMS!$K$34))*N2OEF!$H$32)*$B$6*365*0.001*0.000001*44/28</f>
        <v>3.5891108824999995</v>
      </c>
      <c r="V18" s="87">
        <f t="shared" si="8"/>
        <v>10.664799270682856</v>
      </c>
      <c r="X18">
        <f t="shared" si="9"/>
        <v>2020</v>
      </c>
      <c r="Y18" s="87">
        <f>LStock_Heads!$P$17</f>
        <v>0.74116188771428582</v>
      </c>
      <c r="Z18" s="87">
        <f>LStock_Heads!$P$20</f>
        <v>3.3984892820999999</v>
      </c>
      <c r="AA18" s="87">
        <f t="shared" si="12"/>
        <v>0.13903707828214285</v>
      </c>
      <c r="AB18" s="87">
        <f t="shared" si="13"/>
        <v>1.0222411496078572</v>
      </c>
      <c r="AD18" s="87">
        <f>LStock_Heads!$P$22</f>
        <v>1.8208008653214287</v>
      </c>
      <c r="AE18" s="87">
        <f t="shared" si="15"/>
        <v>3.5891108824999995</v>
      </c>
      <c r="AG18">
        <f t="shared" si="16"/>
        <v>10.710841145525714</v>
      </c>
    </row>
    <row r="19" spans="1:33" x14ac:dyDescent="0.25">
      <c r="A19">
        <v>2025</v>
      </c>
      <c r="B19">
        <f>LStock_Heads!$H$39</f>
        <v>0.61763490642857144</v>
      </c>
      <c r="C19">
        <f>LStock_Heads!$H$42</f>
        <v>3.4367951237714278</v>
      </c>
      <c r="D19" s="87">
        <f>LStock_Heads!H$31*MMS!$J$29*MMS!$K$29*$B$6*365*0.001*(44/28)*0.000001*((MMS!$C$29*N2OEF!$C$28)+(MMS!$E$29*N2OEF!$E$28))</f>
        <v>0.12513337045392856</v>
      </c>
      <c r="E19" s="87">
        <f>LStock_Heads!H$30*MMS!$J$30*MMS!$K$30*$B$6*365*0.001*(44/28)*0.000001*((MMS!$C$30*N2OEF!$C$29)+(MMS!$E$30*N2OEF!$E$29))</f>
        <v>0.97629772715357155</v>
      </c>
      <c r="G19">
        <f>LStock_Heads!$H$44</f>
        <v>1.8208008653214287</v>
      </c>
      <c r="H19" s="94">
        <f>((LStock_Heads!H$32*MMS!$J$32*MMS!$K$32*N2OEF!$H$31)+((LStock_Heads!H$38*MMS!$J$33*MMS!$K$33)+(LStock_Heads!H$34*MMS!$J$35*MMS!$K$35)+(LStock_Heads!H$33*MMS!$J$34*MMS!$K$34))*N2OEF!$H$32)*$B$6*365*0.001*0.000001*44/28</f>
        <v>3.6855720031428567</v>
      </c>
      <c r="J19" s="87">
        <f t="shared" si="0"/>
        <v>10.662233996271786</v>
      </c>
      <c r="M19" s="88">
        <f t="shared" si="1"/>
        <v>2025</v>
      </c>
      <c r="N19" s="94">
        <f>LStock_Heads!$H$17</f>
        <v>0.7666159323428573</v>
      </c>
      <c r="O19" s="94">
        <f>LStock_Heads!$H$20</f>
        <v>3.549990757531428</v>
      </c>
      <c r="P19" s="87">
        <f>LStock_Heads!H9*MMS!$J$29*MMS!$K$29*$B$6*365*0.001*(44/28)*0.000001*((MMS!$C$29*N2OEF!$C$28)+(MMS!$E$29*N2OEF!$E$28))</f>
        <v>0.16220992466249998</v>
      </c>
      <c r="Q19" s="94">
        <f>LStock_Heads!H$8*MMS!$J$30*MMS!$K$30*$B$6*365*0.001*(44/28)*0.000001*((MMS!$C$30*N2OEF!$C$29)+(MMS!$E$30*N2OEF!$E$29))</f>
        <v>1.0720131906000001</v>
      </c>
      <c r="S19" s="94">
        <f>LStock_Heads!$H$22</f>
        <v>1.9035645410178572</v>
      </c>
      <c r="T19" s="94">
        <f>((LStock_Heads!H$10*MMS!$J$32*MMS!$K$32)*N2OEF!$H$31+((LStock_Heads!H$38*MMS!$J$33*MMS!$K$33)+(LStock_Heads!H$12*MMS!$J$35*MMS!$K$35)+(LStock_Heads!H$11*MMS!$J$34*MMS!$K$34))*N2OEF!$H$32)*$B$6*365*0.001*0.000001*44/28</f>
        <v>3.6855720031428567</v>
      </c>
      <c r="V19" s="87">
        <f t="shared" si="8"/>
        <v>11.139966349297499</v>
      </c>
      <c r="X19">
        <f t="shared" si="9"/>
        <v>2025</v>
      </c>
      <c r="Y19" s="87">
        <f>LStock_Heads!$Q$17</f>
        <v>0.79057268022857141</v>
      </c>
      <c r="Z19" s="87">
        <f>LStock_Heads!$Q$20</f>
        <v>3.5751453428114277</v>
      </c>
      <c r="AA19" s="87">
        <f t="shared" si="12"/>
        <v>0.16220992466249998</v>
      </c>
      <c r="AB19" s="87">
        <f t="shared" si="13"/>
        <v>1.0720131906000001</v>
      </c>
      <c r="AD19" s="87">
        <f>LStock_Heads!$Q$22</f>
        <v>1.9035645410178572</v>
      </c>
      <c r="AE19" s="87">
        <f t="shared" si="15"/>
        <v>3.6855720031428567</v>
      </c>
      <c r="AG19">
        <f t="shared" si="16"/>
        <v>11.189077682463214</v>
      </c>
    </row>
    <row r="20" spans="1:33" x14ac:dyDescent="0.25">
      <c r="A20">
        <v>2030</v>
      </c>
      <c r="B20">
        <f>LStock_Heads!$I$39</f>
        <v>0.59292951017142859</v>
      </c>
      <c r="C20">
        <f>LStock_Heads!$I$42</f>
        <v>3.5492171542142859</v>
      </c>
      <c r="D20" s="87">
        <f>LStock_Heads!I$31*MMS!$J$29*MMS!$K$29*$B$6*365*0.001*(44/28)*0.000001*((MMS!$C$29*N2OEF!$C$28)+(MMS!$E$29*N2OEF!$E$28))</f>
        <v>0.12976793973</v>
      </c>
      <c r="E20" s="87">
        <f>LStock_Heads!I$30*MMS!$J$30*MMS!$K$30*$B$6*365*0.001*(44/28)*0.000001*((MMS!$C$30*N2OEF!$C$29)+(MMS!$E$30*N2OEF!$E$29))</f>
        <v>0.95715463446428584</v>
      </c>
      <c r="G20">
        <f>LStock_Heads!$I$44</f>
        <v>1.8621827031696434</v>
      </c>
      <c r="H20" s="94">
        <f>((LStock_Heads!I$32*MMS!$J$32*MMS!$K$32*N2OEF!$H$31)+((LStock_Heads!I$38*MMS!$J$33*MMS!$K$33)+(LStock_Heads!I$34*MMS!$J$35*MMS!$K$35)+(LStock_Heads!I$33*MMS!$J$34*MMS!$K$34))*N2OEF!$H$32)*$B$6*365*0.001*0.000001*44/28</f>
        <v>3.7355759029285713</v>
      </c>
      <c r="J20" s="87">
        <f t="shared" si="0"/>
        <v>10.826827844678215</v>
      </c>
      <c r="M20" s="88">
        <f t="shared" si="1"/>
        <v>2030</v>
      </c>
      <c r="N20" s="94">
        <f>LStock_Heads!$I$17</f>
        <v>0.82301410965714261</v>
      </c>
      <c r="O20" s="94">
        <f>LStock_Heads!$I$20</f>
        <v>3.7339835722828574</v>
      </c>
      <c r="P20" s="87">
        <f>LStock_Heads!I9*MMS!$J$29*MMS!$K$29*$B$6*365*0.001*(44/28)*0.000001*((MMS!$C$29*N2OEF!$C$28)+(MMS!$E$29*N2OEF!$E$28))</f>
        <v>0.18538277104285711</v>
      </c>
      <c r="Q20" s="94">
        <f>LStock_Heads!I$8*MMS!$J$30*MMS!$K$30*$B$6*365*0.001*(44/28)*0.000001*((MMS!$C$30*N2OEF!$C$29)+(MMS!$E$30*N2OEF!$E$29))</f>
        <v>1.1485855613571427</v>
      </c>
      <c r="S20" s="94">
        <f>LStock_Heads!$I$22</f>
        <v>1.9863282167142859</v>
      </c>
      <c r="T20" s="94">
        <f>((LStock_Heads!I$10*MMS!$J$32*MMS!$K$32)*N2OEF!$H$31+((LStock_Heads!I$38*MMS!$J$33*MMS!$K$33)+(LStock_Heads!I$12*MMS!$J$35*MMS!$K$35)+(LStock_Heads!I$11*MMS!$J$34*MMS!$K$34))*N2OEF!$H$32)*$B$6*365*0.001*0.000001*44/28</f>
        <v>3.7355759029285713</v>
      </c>
      <c r="V20" s="87">
        <f t="shared" si="8"/>
        <v>11.612870133982858</v>
      </c>
      <c r="X20">
        <f t="shared" si="9"/>
        <v>2030</v>
      </c>
      <c r="Y20" s="87">
        <f>LStock_Heads!$R$17</f>
        <v>0.83998347274285723</v>
      </c>
      <c r="Z20" s="87">
        <f>LStock_Heads!$R$20</f>
        <v>3.7518014035228573</v>
      </c>
      <c r="AA20" s="87">
        <f t="shared" si="12"/>
        <v>0.18538277104285711</v>
      </c>
      <c r="AB20" s="87">
        <f t="shared" si="13"/>
        <v>1.1485855613571427</v>
      </c>
      <c r="AD20" s="87">
        <f>LStock_Heads!$R$22</f>
        <v>1.9863282167142859</v>
      </c>
      <c r="AE20" s="87">
        <f t="shared" si="15"/>
        <v>3.7355759029285713</v>
      </c>
      <c r="AG20">
        <f t="shared" si="16"/>
        <v>11.647657328308572</v>
      </c>
    </row>
    <row r="21" spans="1:33" x14ac:dyDescent="0.25">
      <c r="A21">
        <v>2035</v>
      </c>
      <c r="B21">
        <f>LStock_Heads!$J$39</f>
        <v>0.59292951017142859</v>
      </c>
      <c r="C21">
        <f>LStock_Heads!$J$42</f>
        <v>3.9859287042142859</v>
      </c>
      <c r="D21" s="87">
        <f>LStock_Heads!J$31*MMS!$J$29*MMS!$K$29*$B$6*365*0.001*(44/28)*0.000001*((MMS!$C$29*N2OEF!$C$28)+(MMS!$E$29*N2OEF!$E$28))</f>
        <v>0.13440250900607142</v>
      </c>
      <c r="E21" s="87">
        <f>LStock_Heads!J$30*MMS!$J$30*MMS!$K$30*$B$6*365*0.001*(44/28)*0.000001*((MMS!$C$30*N2OEF!$C$29)+(MMS!$E$30*N2OEF!$E$29))</f>
        <v>0.95715463446428584</v>
      </c>
      <c r="G21">
        <f>LStock_Heads!$J$44</f>
        <v>1.8828736220937503</v>
      </c>
      <c r="H21" s="94">
        <f>((LStock_Heads!J$32*MMS!$J$32*MMS!$K$32*N2OEF!$H$31)+((LStock_Heads!J$38*MMS!$J$33*MMS!$K$33)+(LStock_Heads!J$34*MMS!$J$35*MMS!$K$35)+(LStock_Heads!J$33*MMS!$J$34*MMS!$K$34))*N2OEF!$H$32)*$B$6*365*0.001*0.000001*44/28</f>
        <v>3.8421172833214294</v>
      </c>
      <c r="J21" s="87">
        <f t="shared" si="0"/>
        <v>11.395406263271251</v>
      </c>
      <c r="M21" s="88">
        <f t="shared" si="1"/>
        <v>2035</v>
      </c>
      <c r="N21" s="94">
        <f>LStock_Heads!$J$17</f>
        <v>0.88639967177142864</v>
      </c>
      <c r="O21" s="94">
        <f>LStock_Heads!$J$20</f>
        <v>4.2132932146171429</v>
      </c>
      <c r="P21" s="87">
        <f>LStock_Heads!J9*MMS!$J$29*MMS!$K$29*$B$6*365*0.001*(44/28)*0.000001*((MMS!$C$29*N2OEF!$C$28)+(MMS!$E$29*N2OEF!$E$28))</f>
        <v>0.23172846380357143</v>
      </c>
      <c r="Q21" s="94">
        <f>LStock_Heads!J$8*MMS!$J$30*MMS!$K$30*$B$6*365*0.001*(44/28)*0.000001*((MMS!$C$30*N2OEF!$C$29)+(MMS!$E$30*N2OEF!$E$29))</f>
        <v>1.2443010248035713</v>
      </c>
      <c r="S21" s="94">
        <f>LStock_Heads!$J$22</f>
        <v>2.0111573194232149</v>
      </c>
      <c r="T21" s="94">
        <f>((LStock_Heads!J$10*MMS!$J$32*MMS!$K$32)*N2OEF!$H$31+((LStock_Heads!J$38*MMS!$J$33*MMS!$K$33)+(LStock_Heads!J$12*MMS!$J$35*MMS!$K$35)+(LStock_Heads!J$11*MMS!$J$34*MMS!$K$34))*N2OEF!$H$32)*$B$6*365*0.001*0.000001*44/28</f>
        <v>3.8421172833214294</v>
      </c>
      <c r="V21" s="87">
        <f t="shared" si="8"/>
        <v>12.428996977740358</v>
      </c>
      <c r="X21">
        <f t="shared" si="9"/>
        <v>2035</v>
      </c>
      <c r="Y21" s="87">
        <f>LStock_Heads!$S$17</f>
        <v>0.91409966151428568</v>
      </c>
      <c r="Z21" s="87">
        <f>LStock_Heads!$S$20</f>
        <v>4.2416295554757149</v>
      </c>
      <c r="AA21" s="87">
        <f t="shared" si="12"/>
        <v>0.23172846380357143</v>
      </c>
      <c r="AB21" s="87">
        <f t="shared" si="13"/>
        <v>1.2443010248035713</v>
      </c>
      <c r="AD21" s="87">
        <f>LStock_Heads!$S$22</f>
        <v>2.2346192438035715</v>
      </c>
      <c r="AE21" s="87">
        <f t="shared" si="15"/>
        <v>3.8421172833214294</v>
      </c>
      <c r="AG21">
        <f t="shared" si="16"/>
        <v>12.708495232722143</v>
      </c>
    </row>
    <row r="22" spans="1:33" x14ac:dyDescent="0.25">
      <c r="A22">
        <v>2040</v>
      </c>
      <c r="B22">
        <f>LStock_Heads!$K$39</f>
        <v>0.59292951017142859</v>
      </c>
      <c r="C22">
        <f>LStock_Heads!$K$42</f>
        <v>4.4226402542142855</v>
      </c>
      <c r="D22" s="87">
        <f>LStock_Heads!K$31*MMS!$J$29*MMS!$K$29*$B$6*365*0.001*(44/28)*0.000001*((MMS!$C$29*N2OEF!$C$28)+(MMS!$E$29*N2OEF!$E$28))</f>
        <v>0.13903707828214285</v>
      </c>
      <c r="E22" s="87">
        <f>LStock_Heads!K$30*MMS!$J$30*MMS!$K$30*$B$6*365*0.001*(44/28)*0.000001*((MMS!$C$30*N2OEF!$C$29)+(MMS!$E$30*N2OEF!$E$29))</f>
        <v>0.95715463446428584</v>
      </c>
      <c r="G22">
        <f>LStock_Heads!$K$44</f>
        <v>1.9035645410178572</v>
      </c>
      <c r="H22" s="94">
        <f>((LStock_Heads!K$32*MMS!$J$32*MMS!$K$32*N2OEF!$H$31)+((LStock_Heads!K$38*MMS!$J$33*MMS!$K$33)+(LStock_Heads!K$34*MMS!$J$35*MMS!$K$35)+(LStock_Heads!K$33*MMS!$J$34*MMS!$K$34))*N2OEF!$H$32)*$B$6*365*0.001*0.000001*44/28</f>
        <v>3.9360444514285713</v>
      </c>
      <c r="J22" s="87">
        <f t="shared" si="0"/>
        <v>11.951370469578571</v>
      </c>
      <c r="M22" s="88">
        <f t="shared" si="1"/>
        <v>2040</v>
      </c>
      <c r="N22" s="94">
        <f>LStock_Heads!$K$17</f>
        <v>0.95826991542857121</v>
      </c>
      <c r="O22" s="94">
        <f>LStock_Heads!$K$20</f>
        <v>4.7015117725714282</v>
      </c>
      <c r="P22" s="87">
        <f>LStock_Heads!K9*MMS!$J$29*MMS!$K$29*$B$6*365*0.001*(44/28)*0.000001*((MMS!$C$29*N2OEF!$C$28)+(MMS!$E$29*N2OEF!$E$28))</f>
        <v>0.27807415656428569</v>
      </c>
      <c r="Q22" s="94">
        <f>LStock_Heads!K$8*MMS!$J$30*MMS!$K$30*$B$6*365*0.001*(44/28)*0.000001*((MMS!$C$30*N2OEF!$C$29)+(MMS!$E$30*N2OEF!$E$29))</f>
        <v>1.3400164882500001</v>
      </c>
      <c r="S22" s="94">
        <f>LStock_Heads!$K$22</f>
        <v>1.9863282167142859</v>
      </c>
      <c r="T22" s="94">
        <f>((LStock_Heads!K$10*MMS!$J$32*MMS!$K$32)*N2OEF!$H$31+((LStock_Heads!K$38*MMS!$J$33*MMS!$K$33)+(LStock_Heads!K$12*MMS!$J$35*MMS!$K$35)+(LStock_Heads!K$11*MMS!$J$34*MMS!$K$34))*N2OEF!$H$32)*$B$6*365*0.001*0.000001*44/28</f>
        <v>3.9360444514285713</v>
      </c>
      <c r="V22" s="87">
        <f t="shared" si="8"/>
        <v>13.200245000957143</v>
      </c>
      <c r="X22">
        <f t="shared" si="9"/>
        <v>2040</v>
      </c>
      <c r="Y22" s="87">
        <f>LStock_Heads!$T$17</f>
        <v>0.98821585028571424</v>
      </c>
      <c r="Z22" s="87">
        <f>LStock_Heads!$T$20</f>
        <v>4.7314577074285715</v>
      </c>
      <c r="AA22" s="87">
        <f t="shared" si="12"/>
        <v>0.27807415656428569</v>
      </c>
      <c r="AB22" s="87">
        <f t="shared" si="13"/>
        <v>1.3400164882500001</v>
      </c>
      <c r="AD22" s="87">
        <f>LStock_Heads!$T$22</f>
        <v>2.4829102708928574</v>
      </c>
      <c r="AE22" s="87">
        <f t="shared" si="15"/>
        <v>3.9360444514285713</v>
      </c>
      <c r="AG22">
        <f t="shared" si="16"/>
        <v>13.75671892485</v>
      </c>
    </row>
    <row r="23" spans="1:33" x14ac:dyDescent="0.25">
      <c r="A23">
        <v>2045</v>
      </c>
      <c r="B23">
        <f>LStock_Heads!$L$39</f>
        <v>0.59910585923571424</v>
      </c>
      <c r="C23">
        <f>LStock_Heads!$L$42</f>
        <v>4.7364299803621428</v>
      </c>
      <c r="D23" s="87">
        <f>LStock_Heads!L$31*MMS!$J$29*MMS!$K$29*$B$6*365*0.001*(44/28)*0.000001*((MMS!$C$29*N2OEF!$C$28)+(MMS!$E$29*N2OEF!$E$28))</f>
        <v>0.13903707828214285</v>
      </c>
      <c r="E23" s="87">
        <f>LStock_Heads!L$30*MMS!$J$30*MMS!$K$30*$B$6*365*0.001*(44/28)*0.000001*((MMS!$C$30*N2OEF!$C$29)+(MMS!$E$30*N2OEF!$E$29))</f>
        <v>0.95332601592642852</v>
      </c>
      <c r="G23">
        <f>LStock_Heads!$L$44</f>
        <v>1.9035645410178572</v>
      </c>
      <c r="H23" s="94">
        <f>((LStock_Heads!L$32*MMS!$J$32*MMS!$K$32*N2OEF!$H$31)+((LStock_Heads!L$38*MMS!$J$33*MMS!$K$33)+(LStock_Heads!L$34*MMS!$J$35*MMS!$K$35)+(LStock_Heads!L$33*MMS!$J$34*MMS!$K$34))*N2OEF!$H$32)*$B$6*365*0.001*0.000001*44/28</f>
        <v>4.0370393387499997</v>
      </c>
      <c r="J23" s="87">
        <f t="shared" si="0"/>
        <v>12.368502813574285</v>
      </c>
      <c r="M23" s="88">
        <f t="shared" si="1"/>
        <v>2045</v>
      </c>
      <c r="N23" s="94">
        <f>LStock_Heads!$L$17</f>
        <v>1.018161785142857</v>
      </c>
      <c r="O23" s="94">
        <f>LStock_Heads!$L$20</f>
        <v>5.0733404637142847</v>
      </c>
      <c r="P23" s="87">
        <f>LStock_Heads!L9*MMS!$J$29*MMS!$K$29*$B$6*365*0.001*(44/28)*0.000001*((MMS!$C$29*N2OEF!$C$28)+(MMS!$E$29*N2OEF!$E$28))</f>
        <v>0.32441984932499995</v>
      </c>
      <c r="Q23" s="94">
        <f>LStock_Heads!L$8*MMS!$J$30*MMS!$K$30*$B$6*365*0.001*(44/28)*0.000001*((MMS!$C$30*N2OEF!$C$29)+(MMS!$E$30*N2OEF!$E$29))</f>
        <v>1.4357319516964286</v>
      </c>
      <c r="S23" s="94">
        <f>LStock_Heads!$L$22</f>
        <v>1.7214844544857144</v>
      </c>
      <c r="T23" s="94">
        <f>((LStock_Heads!L$10*MMS!$J$32*MMS!$K$32)*N2OEF!$H$31+((LStock_Heads!L$38*MMS!$J$33*MMS!$K$33)+(LStock_Heads!L$12*MMS!$J$35*MMS!$K$35)+(LStock_Heads!L$11*MMS!$J$34*MMS!$K$34))*N2OEF!$H$32)*$B$6*365*0.001*0.000001*44/28</f>
        <v>4.0370393387499997</v>
      </c>
      <c r="V23" s="87">
        <f t="shared" si="8"/>
        <v>13.610177843114286</v>
      </c>
      <c r="X23">
        <f t="shared" si="9"/>
        <v>2045</v>
      </c>
      <c r="Y23" s="87">
        <f>LStock_Heads!$U$17</f>
        <v>1.0499793409285714</v>
      </c>
      <c r="Z23" s="87">
        <f>LStock_Heads!$U$20</f>
        <v>5.1051580194999993</v>
      </c>
      <c r="AA23" s="87">
        <f t="shared" si="12"/>
        <v>0.32441984932499995</v>
      </c>
      <c r="AB23" s="87">
        <f t="shared" si="13"/>
        <v>1.4357319516964286</v>
      </c>
      <c r="AD23" s="87">
        <f>LStock_Heads!$U$22</f>
        <v>2.6898194601339291</v>
      </c>
      <c r="AE23" s="87">
        <f t="shared" si="15"/>
        <v>4.0370393387499997</v>
      </c>
      <c r="AG23">
        <f t="shared" si="16"/>
        <v>14.642147960333929</v>
      </c>
    </row>
    <row r="24" spans="1:33" x14ac:dyDescent="0.25">
      <c r="A24">
        <v>2050</v>
      </c>
      <c r="B24">
        <f>LStock_Heads!$M$39</f>
        <v>0.60528220830000001</v>
      </c>
      <c r="C24">
        <f>LStock_Heads!$M$42</f>
        <v>5.0502197065099992</v>
      </c>
      <c r="D24" s="87">
        <f>LStock_Heads!M$31*MMS!$J$29*MMS!$K$29*$B$6*365*0.001*(44/28)*0.000001*((MMS!$C$29*N2OEF!$C$28)+(MMS!$E$29*N2OEF!$E$28))</f>
        <v>0.13903707828214285</v>
      </c>
      <c r="E24" s="87">
        <f>LStock_Heads!M$30*MMS!$J$30*MMS!$K$30*$B$6*365*0.001*(44/28)*0.000001*((MMS!$C$30*N2OEF!$C$29)+(MMS!$E$30*N2OEF!$E$29))</f>
        <v>0.94949739738857153</v>
      </c>
      <c r="G24">
        <f>LStock_Heads!$M$44</f>
        <v>1.9035645410178572</v>
      </c>
      <c r="H24" s="94">
        <f>((LStock_Heads!M$32*MMS!$J$32*MMS!$K$32*N2OEF!$H$31)+((LStock_Heads!M$38*MMS!$J$33*MMS!$K$33)+(LStock_Heads!M$34*MMS!$J$35*MMS!$K$35)+(LStock_Heads!M$33*MMS!$J$34*MMS!$K$34))*N2OEF!$H$32)*$B$6*365*0.001*0.000001*44/28</f>
        <v>4.1380342260714276</v>
      </c>
      <c r="J24" s="87">
        <f t="shared" si="0"/>
        <v>12.785635157569999</v>
      </c>
      <c r="M24" s="88">
        <f t="shared" si="1"/>
        <v>2050</v>
      </c>
      <c r="N24" s="94">
        <f>LStock_Heads!$M$17</f>
        <v>1.0892833804285718</v>
      </c>
      <c r="O24" s="94">
        <f>LStock_Heads!$M$20</f>
        <v>5.456398880428571</v>
      </c>
      <c r="P24" s="87">
        <f>LStock_Heads!M9*MMS!$J$29*MMS!$K$29*$B$6*365*0.001*(44/28)*0.000001*((MMS!$C$29*N2OEF!$C$28)+(MMS!$E$29*N2OEF!$E$28))</f>
        <v>0.37076554208571422</v>
      </c>
      <c r="Q24" s="94">
        <f>LStock_Heads!M$8*MMS!$J$30*MMS!$K$30*$B$6*365*0.001*(44/28)*0.000001*((MMS!$C$30*N2OEF!$C$29)+(MMS!$E$30*N2OEF!$E$29))</f>
        <v>1.5314474151428572</v>
      </c>
      <c r="S24" s="94">
        <f>LStock_Heads!$M$22</f>
        <v>1.4483643246875002</v>
      </c>
      <c r="T24" s="94">
        <f>((LStock_Heads!M$10*MMS!$J$32*MMS!$K$32)*N2OEF!$H$31+((LStock_Heads!M$38*MMS!$J$33*MMS!$K$33)+(LStock_Heads!M$12*MMS!$J$35*MMS!$K$35)+(LStock_Heads!M$11*MMS!$J$34*MMS!$K$34))*N2OEF!$H$32)*$B$6*365*0.001*0.000001*44/28</f>
        <v>4.1380342260714276</v>
      </c>
      <c r="V24" s="87">
        <f t="shared" si="8"/>
        <v>14.034293768844643</v>
      </c>
      <c r="X24">
        <f t="shared" si="9"/>
        <v>2050</v>
      </c>
      <c r="Y24" s="87">
        <f>LStock_Heads!$V$17</f>
        <v>1.1117428315714286</v>
      </c>
      <c r="Z24" s="87">
        <f>LStock_Heads!$V$20</f>
        <v>5.4788583315714288</v>
      </c>
      <c r="AA24" s="87">
        <f t="shared" si="12"/>
        <v>0.37076554208571422</v>
      </c>
      <c r="AB24" s="87">
        <f t="shared" si="13"/>
        <v>1.5314474151428572</v>
      </c>
      <c r="AD24" s="87">
        <f>LStock_Heads!$V$22</f>
        <v>2.8967286493750004</v>
      </c>
      <c r="AE24" s="87">
        <f t="shared" si="15"/>
        <v>4.1380342260714276</v>
      </c>
      <c r="AG24">
        <f t="shared" si="16"/>
        <v>15.527576995817858</v>
      </c>
    </row>
  </sheetData>
  <mergeCells count="3">
    <mergeCell ref="C7:G7"/>
    <mergeCell ref="N7:T7"/>
    <mergeCell ref="Y7:AG7"/>
  </mergeCells>
  <pageMargins left="0.7" right="0.7" top="0.75" bottom="0.75" header="0.3" footer="0.3"/>
  <pageSetup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"/>
  <sheetViews>
    <sheetView topLeftCell="F1" workbookViewId="0">
      <selection activeCell="W11" sqref="W11"/>
    </sheetView>
  </sheetViews>
  <sheetFormatPr defaultRowHeight="15" x14ac:dyDescent="0.25"/>
  <cols>
    <col min="3" max="4" width="10.5703125" customWidth="1"/>
    <col min="9" max="9" width="10.85546875" customWidth="1"/>
    <col min="10" max="10" width="11.140625" customWidth="1"/>
  </cols>
  <sheetData>
    <row r="2" spans="1:19" x14ac:dyDescent="0.25">
      <c r="A2" t="s">
        <v>344</v>
      </c>
    </row>
    <row r="3" spans="1:19" x14ac:dyDescent="0.25">
      <c r="B3" s="192" t="s">
        <v>340</v>
      </c>
      <c r="C3" s="192"/>
      <c r="D3" s="192"/>
      <c r="E3" s="192"/>
      <c r="F3" s="146"/>
      <c r="H3" s="192" t="s">
        <v>341</v>
      </c>
      <c r="I3" s="192"/>
      <c r="J3" s="192"/>
      <c r="K3" s="192"/>
      <c r="M3" s="192" t="s">
        <v>381</v>
      </c>
      <c r="N3" s="192"/>
      <c r="O3" s="192"/>
      <c r="P3" s="192"/>
      <c r="Q3" s="192"/>
    </row>
    <row r="4" spans="1:19" x14ac:dyDescent="0.25">
      <c r="A4" s="114" t="s">
        <v>0</v>
      </c>
      <c r="B4" s="121" t="s">
        <v>304</v>
      </c>
      <c r="C4" s="121" t="s">
        <v>342</v>
      </c>
      <c r="D4" s="121" t="s">
        <v>343</v>
      </c>
      <c r="E4" s="121" t="s">
        <v>131</v>
      </c>
      <c r="F4" s="146"/>
      <c r="G4" s="145" t="s">
        <v>0</v>
      </c>
      <c r="H4" s="146" t="s">
        <v>304</v>
      </c>
      <c r="I4" s="146" t="s">
        <v>342</v>
      </c>
      <c r="J4" s="146" t="s">
        <v>343</v>
      </c>
      <c r="K4" s="146" t="s">
        <v>131</v>
      </c>
      <c r="M4" s="151" t="s">
        <v>0</v>
      </c>
      <c r="N4" s="146" t="s">
        <v>304</v>
      </c>
      <c r="O4" s="146" t="s">
        <v>342</v>
      </c>
      <c r="P4" s="146" t="s">
        <v>343</v>
      </c>
      <c r="Q4" s="146" t="s">
        <v>131</v>
      </c>
    </row>
    <row r="5" spans="1:19" x14ac:dyDescent="0.25">
      <c r="A5" s="146">
        <v>2006</v>
      </c>
      <c r="B5" s="121">
        <f>INDEX((LstockEnteric!$I$8:$I$23),MATCH(A5,LstockEnteric!$A$8:A$23,0))</f>
        <v>19.915768749999998</v>
      </c>
      <c r="C5" s="143">
        <f>INDEX((LstockManMgtCH4!$J$9:$J$24),MATCH(A5,LstockManMgtCH4!$A$9:A$24,0))</f>
        <v>3.4738317291666663</v>
      </c>
      <c r="D5" s="121">
        <f>INDEX((LstockManMgtN2O!$J$9:$J$24),MATCH(A5,LstockManMgtN2O!$A$9:A$24,0))</f>
        <v>10.136969761545535</v>
      </c>
      <c r="E5" s="121">
        <f>SUM(B5:D5)</f>
        <v>33.526570240712196</v>
      </c>
      <c r="F5" s="146"/>
      <c r="G5" s="146">
        <f>A5</f>
        <v>2006</v>
      </c>
      <c r="H5">
        <f>INDEX((LstockEnteric!$S$8:$S$23),MATCH(G5,LstockEnteric!$K$8:K$23,0))</f>
        <v>19.915768749999998</v>
      </c>
      <c r="I5">
        <f>INDEX((LstockManMgtCH4!$V$9:$V$24),MATCH(G5,LstockManMgtCH4!$M$9:$M$24,0))</f>
        <v>3.4738317291666663</v>
      </c>
      <c r="J5">
        <f>INDEX((LstockManMgtN2O!$V$9:$V$24),MATCH(G5,LstockManMgtN2O!$M$9:M$24,0))</f>
        <v>10.136969761545535</v>
      </c>
      <c r="K5">
        <f>SUM(H5:J5)</f>
        <v>33.526570240712196</v>
      </c>
      <c r="M5">
        <f>G5</f>
        <v>2006</v>
      </c>
      <c r="N5">
        <f>H5</f>
        <v>19.915768749999998</v>
      </c>
      <c r="O5">
        <f>I5</f>
        <v>3.4738317291666663</v>
      </c>
      <c r="P5">
        <f>INDEX((LstockManMgtN2O!$AG$9:$AG$24),MATCH(M5,LstockManMgtN2O!$M$9:M$24,0))</f>
        <v>10.136969761545535</v>
      </c>
      <c r="Q5">
        <f>SUM(N5:P5)</f>
        <v>33.526570240712196</v>
      </c>
      <c r="S5">
        <f>Q5-K5</f>
        <v>0</v>
      </c>
    </row>
    <row r="6" spans="1:19" x14ac:dyDescent="0.25">
      <c r="A6" s="146">
        <v>2007</v>
      </c>
      <c r="B6" s="146">
        <f>INDEX((LstockEnteric!$I$8:$I$23),MATCH(A6,LstockEnteric!$A$8:A$23,0))</f>
        <v>19.830356250000001</v>
      </c>
      <c r="C6" s="146">
        <f>INDEX((LstockManMgtCH4!$J$9:$J$24),MATCH(A6,LstockManMgtCH4!$A$9:A$24,0))</f>
        <v>3.7202813819444445</v>
      </c>
      <c r="D6" s="146">
        <f>INDEX((LstockManMgtN2O!$J$9:$J$24),MATCH(A6,LstockManMgtN2O!$A$9:A$24,0))</f>
        <v>9.4242357208578564</v>
      </c>
      <c r="E6" s="146">
        <f t="shared" ref="E6:E20" si="0">SUM(B6:D6)</f>
        <v>32.974873352802305</v>
      </c>
      <c r="F6" s="146"/>
      <c r="G6" s="146">
        <f t="shared" ref="G6:G20" si="1">A6</f>
        <v>2007</v>
      </c>
      <c r="H6">
        <f>INDEX((LstockEnteric!$S$8:$S$23),MATCH(G6,LstockEnteric!$K$8:K$23,0))</f>
        <v>19.830356250000001</v>
      </c>
      <c r="I6">
        <f>INDEX((LstockManMgtCH4!$V$9:$V$24),MATCH(G6,LstockManMgtCH4!$M$9:$M$24,0))</f>
        <v>3.7202813819444445</v>
      </c>
      <c r="J6">
        <f>INDEX((LstockManMgtN2O!$V$9:$V$24),MATCH(G6,LstockManMgtN2O!$M$9:M$24,0))</f>
        <v>9.4242357208578564</v>
      </c>
      <c r="K6">
        <f t="shared" ref="K6:K20" si="2">SUM(H6:J6)</f>
        <v>32.974873352802305</v>
      </c>
      <c r="M6">
        <f t="shared" ref="M6:M20" si="3">G6</f>
        <v>2007</v>
      </c>
      <c r="N6">
        <f t="shared" ref="N6:N20" si="4">H6</f>
        <v>19.830356250000001</v>
      </c>
      <c r="O6">
        <f t="shared" ref="O6:O20" si="5">I6</f>
        <v>3.7202813819444445</v>
      </c>
      <c r="P6">
        <f>INDEX((LstockManMgtN2O!$AG$9:$AG$24),MATCH(M6,LstockManMgtN2O!$M$9:M$24,0))</f>
        <v>9.4242357208578564</v>
      </c>
      <c r="Q6">
        <f t="shared" ref="Q6:Q20" si="6">SUM(N6:P6)</f>
        <v>32.974873352802305</v>
      </c>
      <c r="S6">
        <f t="shared" ref="S6:S20" si="7">Q6-K6</f>
        <v>0</v>
      </c>
    </row>
    <row r="7" spans="1:19" x14ac:dyDescent="0.25">
      <c r="A7" s="146">
        <v>2008</v>
      </c>
      <c r="B7" s="146">
        <f>INDEX((LstockEnteric!$I$8:$I$23),MATCH(A7,LstockEnteric!$A$8:A$23,0))</f>
        <v>20.250081250000001</v>
      </c>
      <c r="C7" s="146">
        <f>INDEX((LstockManMgtCH4!$J$9:$J$24),MATCH(A7,LstockManMgtCH4!$A$9:A$24,0))</f>
        <v>3.5887635277777781</v>
      </c>
      <c r="D7" s="146">
        <f>INDEX((LstockManMgtN2O!$J$9:$J$24),MATCH(A7,LstockManMgtN2O!$A$9:A$24,0))</f>
        <v>9.0883891694316929</v>
      </c>
      <c r="E7" s="146">
        <f t="shared" si="0"/>
        <v>32.927233947209473</v>
      </c>
      <c r="F7" s="146"/>
      <c r="G7" s="146">
        <f t="shared" si="1"/>
        <v>2008</v>
      </c>
      <c r="H7">
        <f>INDEX((LstockEnteric!$S$8:$S$23),MATCH(G7,LstockEnteric!$K$8:K$23,0))</f>
        <v>20.250081250000001</v>
      </c>
      <c r="I7">
        <f>INDEX((LstockManMgtCH4!$V$9:$V$24),MATCH(G7,LstockManMgtCH4!$M$9:$M$24,0))</f>
        <v>3.5887635277777781</v>
      </c>
      <c r="J7">
        <f>INDEX((LstockManMgtN2O!$V$9:$V$24),MATCH(G7,LstockManMgtN2O!$M$9:M$24,0))</f>
        <v>9.0883891694316929</v>
      </c>
      <c r="K7">
        <f t="shared" si="2"/>
        <v>32.927233947209473</v>
      </c>
      <c r="M7">
        <f t="shared" si="3"/>
        <v>2008</v>
      </c>
      <c r="N7">
        <f t="shared" si="4"/>
        <v>20.250081250000001</v>
      </c>
      <c r="O7">
        <f t="shared" si="5"/>
        <v>3.5887635277777781</v>
      </c>
      <c r="P7">
        <f>INDEX((LstockManMgtN2O!$AG$9:$AG$24),MATCH(M7,LstockManMgtN2O!$M$9:M$24,0))</f>
        <v>9.0883891694316929</v>
      </c>
      <c r="Q7">
        <f t="shared" si="6"/>
        <v>32.927233947209473</v>
      </c>
      <c r="S7">
        <f t="shared" si="7"/>
        <v>0</v>
      </c>
    </row>
    <row r="8" spans="1:19" x14ac:dyDescent="0.25">
      <c r="A8" s="146">
        <v>2009</v>
      </c>
      <c r="B8" s="146">
        <f>INDEX((LstockEnteric!$I$8:$I$23),MATCH(A8,LstockEnteric!$A$8:A$23,0))</f>
        <v>20.386050000000001</v>
      </c>
      <c r="C8" s="146">
        <f>INDEX((LstockManMgtCH4!$J$9:$J$24),MATCH(A8,LstockManMgtCH4!$A$9:A$24,0))</f>
        <v>3.7882022638888886</v>
      </c>
      <c r="D8" s="146">
        <f>INDEX((LstockManMgtN2O!$J$9:$J$24),MATCH(A8,LstockManMgtN2O!$A$9:A$24,0))</f>
        <v>9.233250359179344</v>
      </c>
      <c r="E8" s="146">
        <f t="shared" si="0"/>
        <v>33.407502623068233</v>
      </c>
      <c r="F8" s="146"/>
      <c r="G8" s="146">
        <f t="shared" si="1"/>
        <v>2009</v>
      </c>
      <c r="H8">
        <f>INDEX((LstockEnteric!$S$8:$S$23),MATCH(G8,LstockEnteric!$K$8:K$23,0))</f>
        <v>20.386050000000001</v>
      </c>
      <c r="I8">
        <f>INDEX((LstockManMgtCH4!$V$9:$V$24),MATCH(G8,LstockManMgtCH4!$M$9:$M$24,0))</f>
        <v>3.7882022638888886</v>
      </c>
      <c r="J8">
        <f>INDEX((LstockManMgtN2O!$V$9:$V$24),MATCH(G8,LstockManMgtN2O!$M$9:M$24,0))</f>
        <v>9.233250359179344</v>
      </c>
      <c r="K8">
        <f t="shared" si="2"/>
        <v>33.407502623068233</v>
      </c>
      <c r="M8">
        <f t="shared" si="3"/>
        <v>2009</v>
      </c>
      <c r="N8">
        <f t="shared" si="4"/>
        <v>20.386050000000001</v>
      </c>
      <c r="O8">
        <f t="shared" si="5"/>
        <v>3.7882022638888886</v>
      </c>
      <c r="P8">
        <f>INDEX((LstockManMgtN2O!$AG$9:$AG$24),MATCH(M8,LstockManMgtN2O!$M$9:M$24,0))</f>
        <v>9.233250359179344</v>
      </c>
      <c r="Q8">
        <f t="shared" si="6"/>
        <v>33.407502623068233</v>
      </c>
      <c r="S8">
        <f t="shared" si="7"/>
        <v>0</v>
      </c>
    </row>
    <row r="9" spans="1:19" x14ac:dyDescent="0.25">
      <c r="A9" s="146">
        <v>2010</v>
      </c>
      <c r="B9" s="146">
        <f>INDEX((LstockEnteric!$I$8:$I$23),MATCH(A9,LstockEnteric!$A$8:A$23,0))</f>
        <v>21.088637500000001</v>
      </c>
      <c r="C9" s="146">
        <f>INDEX((LstockManMgtCH4!$J$9:$J$24),MATCH(A9,LstockManMgtCH4!$A$9:A$24,0))</f>
        <v>4.1580482291666661</v>
      </c>
      <c r="D9" s="146">
        <f>INDEX((LstockManMgtN2O!$J$9:$J$24),MATCH(A9,LstockManMgtN2O!$A$9:A$24,0))</f>
        <v>9.6019980171847621</v>
      </c>
      <c r="E9" s="146">
        <f t="shared" si="0"/>
        <v>34.848683746351426</v>
      </c>
      <c r="F9" s="146"/>
      <c r="G9" s="146">
        <f t="shared" si="1"/>
        <v>2010</v>
      </c>
      <c r="H9">
        <f>INDEX((LstockEnteric!$S$8:$S$23),MATCH(G9,LstockEnteric!$K$8:K$23,0))</f>
        <v>21.088637500000001</v>
      </c>
      <c r="I9">
        <f>INDEX((LstockManMgtCH4!$V$9:$V$24),MATCH(G9,LstockManMgtCH4!$M$9:$M$24,0))</f>
        <v>4.1580482291666661</v>
      </c>
      <c r="J9">
        <f>INDEX((LstockManMgtN2O!$V$9:$V$24),MATCH(G9,LstockManMgtN2O!$M$9:M$24,0))</f>
        <v>9.6019980171847621</v>
      </c>
      <c r="K9">
        <f t="shared" si="2"/>
        <v>34.848683746351426</v>
      </c>
      <c r="M9">
        <f t="shared" si="3"/>
        <v>2010</v>
      </c>
      <c r="N9">
        <f t="shared" si="4"/>
        <v>21.088637500000001</v>
      </c>
      <c r="O9">
        <f t="shared" si="5"/>
        <v>4.1580482291666661</v>
      </c>
      <c r="P9">
        <f>INDEX((LstockManMgtN2O!$AG$9:$AG$24),MATCH(M9,LstockManMgtN2O!$M$9:M$24,0))</f>
        <v>9.6019980171847621</v>
      </c>
      <c r="Q9">
        <f t="shared" si="6"/>
        <v>34.848683746351426</v>
      </c>
      <c r="S9">
        <f t="shared" si="7"/>
        <v>0</v>
      </c>
    </row>
    <row r="10" spans="1:19" x14ac:dyDescent="0.25">
      <c r="A10" s="146">
        <v>2011</v>
      </c>
      <c r="B10" s="146">
        <f>INDEX((LstockEnteric!$I$8:$I$23),MATCH(A10,LstockEnteric!$A$8:A$23,0))</f>
        <v>20.273137499999997</v>
      </c>
      <c r="C10" s="146">
        <f>INDEX((LstockManMgtCH4!$J$9:$J$24),MATCH(A10,LstockManMgtCH4!$A$9:A$24,0))</f>
        <v>4.2158971388888897</v>
      </c>
      <c r="D10" s="146">
        <f>INDEX((LstockManMgtN2O!$J$9:$J$24),MATCH(A10,LstockManMgtN2O!$A$9:A$24,0))</f>
        <v>9.5082357397360457</v>
      </c>
      <c r="E10" s="146">
        <f t="shared" si="0"/>
        <v>33.997270378624933</v>
      </c>
      <c r="F10" s="146"/>
      <c r="G10" s="146">
        <f t="shared" si="1"/>
        <v>2011</v>
      </c>
      <c r="H10">
        <f>INDEX((LstockEnteric!$S$8:$S$23),MATCH(G10,LstockEnteric!$K$8:K$23,0))</f>
        <v>20.273137499999997</v>
      </c>
      <c r="I10">
        <f>INDEX((LstockManMgtCH4!$V$9:$V$24),MATCH(G10,LstockManMgtCH4!$M$9:$M$24,0))</f>
        <v>4.2158971388888897</v>
      </c>
      <c r="J10">
        <f>INDEX((LstockManMgtN2O!$V$9:$V$24),MATCH(G10,LstockManMgtN2O!$M$9:M$24,0))</f>
        <v>9.5082357397360457</v>
      </c>
      <c r="K10">
        <f t="shared" si="2"/>
        <v>33.997270378624933</v>
      </c>
      <c r="M10">
        <f t="shared" si="3"/>
        <v>2011</v>
      </c>
      <c r="N10">
        <f t="shared" si="4"/>
        <v>20.273137499999997</v>
      </c>
      <c r="O10">
        <f t="shared" si="5"/>
        <v>4.2158971388888897</v>
      </c>
      <c r="P10">
        <f>INDEX((LstockManMgtN2O!$AG$9:$AG$24),MATCH(M10,LstockManMgtN2O!$M$9:M$24,0))</f>
        <v>9.5082357397360457</v>
      </c>
      <c r="Q10">
        <f t="shared" si="6"/>
        <v>33.997270378624933</v>
      </c>
      <c r="S10">
        <f t="shared" si="7"/>
        <v>0</v>
      </c>
    </row>
    <row r="11" spans="1:19" x14ac:dyDescent="0.25">
      <c r="A11" s="146">
        <v>2012</v>
      </c>
      <c r="B11" s="146">
        <f>INDEX((LstockEnteric!$I$8:$I$23),MATCH(A11,LstockEnteric!$A$8:A$23,0))</f>
        <v>20.6790375</v>
      </c>
      <c r="C11" s="146">
        <f>INDEX((LstockManMgtCH4!$J$9:$J$24),MATCH(A11,LstockManMgtCH4!$A$9:A$24,0))</f>
        <v>4.0857701874999997</v>
      </c>
      <c r="D11" s="146">
        <f>INDEX((LstockManMgtN2O!$J$9:$J$24),MATCH(A11,LstockManMgtN2O!$A$9:A$24,0))</f>
        <v>9.2877936433907617</v>
      </c>
      <c r="E11" s="146">
        <f t="shared" si="0"/>
        <v>34.052601330890759</v>
      </c>
      <c r="F11" s="146"/>
      <c r="G11" s="146">
        <f t="shared" si="1"/>
        <v>2012</v>
      </c>
      <c r="H11">
        <f>INDEX((LstockEnteric!$S$8:$S$23),MATCH(G11,LstockEnteric!$K$8:K$23,0))</f>
        <v>20.6790375</v>
      </c>
      <c r="I11">
        <f>INDEX((LstockManMgtCH4!$V$9:$V$24),MATCH(G11,LstockManMgtCH4!$M$9:$M$24,0))</f>
        <v>4.0857701874999997</v>
      </c>
      <c r="J11">
        <f>INDEX((LstockManMgtN2O!$V$9:$V$24),MATCH(G11,LstockManMgtN2O!$M$9:M$24,0))</f>
        <v>9.2877936433907617</v>
      </c>
      <c r="K11">
        <f t="shared" si="2"/>
        <v>34.052601330890759</v>
      </c>
      <c r="M11">
        <f t="shared" si="3"/>
        <v>2012</v>
      </c>
      <c r="N11">
        <f t="shared" si="4"/>
        <v>20.6790375</v>
      </c>
      <c r="O11">
        <f t="shared" si="5"/>
        <v>4.0857701874999997</v>
      </c>
      <c r="P11">
        <f>INDEX((LstockManMgtN2O!$AG$9:$AG$24),MATCH(M11,LstockManMgtN2O!$M$9:M$24,0))</f>
        <v>9.2877936433907617</v>
      </c>
      <c r="Q11">
        <f t="shared" si="6"/>
        <v>34.052601330890759</v>
      </c>
      <c r="S11">
        <f t="shared" si="7"/>
        <v>0</v>
      </c>
    </row>
    <row r="12" spans="1:19" x14ac:dyDescent="0.25">
      <c r="A12" s="146">
        <v>2013</v>
      </c>
      <c r="B12" s="146">
        <f>INDEX((LstockEnteric!$I$8:$I$23),MATCH(A12,LstockEnteric!$A$8:A$23,0))</f>
        <v>20.396525</v>
      </c>
      <c r="C12" s="146">
        <f>INDEX((LstockManMgtCH4!$J$9:$J$24),MATCH(A12,LstockManMgtCH4!$A$9:A$24,0))</f>
        <v>4.0652976874999993</v>
      </c>
      <c r="D12" s="146">
        <f>INDEX((LstockManMgtN2O!$J$9:$J$24),MATCH(A12,LstockManMgtN2O!$A$9:A$24,0))</f>
        <v>9.1404827362631487</v>
      </c>
      <c r="E12" s="146">
        <f t="shared" si="0"/>
        <v>33.602305423763148</v>
      </c>
      <c r="F12" s="146"/>
      <c r="G12" s="146">
        <f t="shared" si="1"/>
        <v>2013</v>
      </c>
      <c r="H12">
        <f>INDEX((LstockEnteric!$S$8:$S$23),MATCH(G12,LstockEnteric!$K$8:K$23,0))</f>
        <v>20.396525</v>
      </c>
      <c r="I12">
        <f>INDEX((LstockManMgtCH4!$V$9:$V$24),MATCH(G12,LstockManMgtCH4!$M$9:$M$24,0))</f>
        <v>4.0652976874999993</v>
      </c>
      <c r="J12">
        <f>INDEX((LstockManMgtN2O!$V$9:$V$24),MATCH(G12,LstockManMgtN2O!$M$9:M$24,0))</f>
        <v>9.1404827362631487</v>
      </c>
      <c r="K12">
        <f t="shared" si="2"/>
        <v>33.602305423763148</v>
      </c>
      <c r="M12">
        <f t="shared" si="3"/>
        <v>2013</v>
      </c>
      <c r="N12">
        <f t="shared" si="4"/>
        <v>20.396525</v>
      </c>
      <c r="O12">
        <f t="shared" si="5"/>
        <v>4.0652976874999993</v>
      </c>
      <c r="P12">
        <f>INDEX((LstockManMgtN2O!$AG$9:$AG$24),MATCH(M12,LstockManMgtN2O!$M$9:M$24,0))</f>
        <v>9.1404827362631487</v>
      </c>
      <c r="Q12">
        <f t="shared" si="6"/>
        <v>33.602305423763148</v>
      </c>
      <c r="S12">
        <f t="shared" si="7"/>
        <v>0</v>
      </c>
    </row>
    <row r="13" spans="1:19" x14ac:dyDescent="0.25">
      <c r="A13" s="146">
        <v>2015</v>
      </c>
      <c r="B13" s="146">
        <f>INDEX((LstockEnteric!$I$8:$I$23),MATCH(A13,LstockEnteric!$A$8:A$23,0))</f>
        <v>20.547249999999998</v>
      </c>
      <c r="C13" s="146">
        <f>INDEX((LstockManMgtCH4!$J$9:$J$24),MATCH(A13,LstockManMgtCH4!$A$9:A$24,0))</f>
        <v>4.1353049999999998</v>
      </c>
      <c r="D13" s="146">
        <f>INDEX((LstockManMgtN2O!$J$9:$J$24),MATCH(A13,LstockManMgtN2O!$A$9:A$24,0))</f>
        <v>10.274249584374285</v>
      </c>
      <c r="E13" s="146">
        <f t="shared" si="0"/>
        <v>34.956804584374282</v>
      </c>
      <c r="F13" s="146"/>
      <c r="G13" s="146">
        <f t="shared" si="1"/>
        <v>2015</v>
      </c>
      <c r="H13">
        <f>INDEX((LstockEnteric!$S$8:$S$23),MATCH(G13,LstockEnteric!$K$8:K$23,0))</f>
        <v>20.547249999999998</v>
      </c>
      <c r="I13">
        <f>INDEX((LstockManMgtCH4!$V$9:$V$24),MATCH(G13,LstockManMgtCH4!$M$9:$M$24,0))</f>
        <v>4.1353049999999998</v>
      </c>
      <c r="J13">
        <f>INDEX((LstockManMgtN2O!$V$9:$V$24),MATCH(G13,LstockManMgtN2O!$M$9:M$24,0))</f>
        <v>10.274249584374285</v>
      </c>
      <c r="K13">
        <f t="shared" si="2"/>
        <v>34.956804584374282</v>
      </c>
      <c r="M13">
        <f t="shared" si="3"/>
        <v>2015</v>
      </c>
      <c r="N13">
        <f t="shared" si="4"/>
        <v>20.547249999999998</v>
      </c>
      <c r="O13">
        <f t="shared" si="5"/>
        <v>4.1353049999999998</v>
      </c>
      <c r="P13">
        <f>INDEX((LstockManMgtN2O!$AG$9:$AG$24),MATCH(M13,LstockManMgtN2O!$M$9:M$24,0))</f>
        <v>10.274249584374285</v>
      </c>
      <c r="Q13">
        <f t="shared" si="6"/>
        <v>34.956804584374282</v>
      </c>
      <c r="S13">
        <f t="shared" si="7"/>
        <v>0</v>
      </c>
    </row>
    <row r="14" spans="1:19" x14ac:dyDescent="0.25">
      <c r="A14" s="146">
        <v>2020</v>
      </c>
      <c r="B14" s="146">
        <f>INDEX((LstockEnteric!$I$8:$I$23),MATCH(A14,LstockEnteric!$A$8:A$23,0))</f>
        <v>19.559750000000001</v>
      </c>
      <c r="C14" s="146">
        <f>INDEX((LstockManMgtCH4!$J$9:$J$24),MATCH(A14,LstockManMgtCH4!$A$9:A$24,0))</f>
        <v>4.2600549999999995</v>
      </c>
      <c r="D14" s="146">
        <f>INDEX((LstockManMgtN2O!$J$9:$J$24),MATCH(A14,LstockManMgtN2O!$A$9:A$24,0))</f>
        <v>10.515114335828928</v>
      </c>
      <c r="E14" s="146">
        <f t="shared" si="0"/>
        <v>34.334919335828928</v>
      </c>
      <c r="F14" s="146">
        <f>B14/E14%</f>
        <v>56.967514059627192</v>
      </c>
      <c r="G14" s="146">
        <f t="shared" si="1"/>
        <v>2020</v>
      </c>
      <c r="H14">
        <f>INDEX((LstockEnteric!$S$8:$S$23),MATCH(G14,LstockEnteric!$K$8:K$23,0))</f>
        <v>21.479750000000003</v>
      </c>
      <c r="I14">
        <f>INDEX((LstockManMgtCH4!$V$9:$V$24),MATCH(G14,LstockManMgtCH4!$M$9:$M$24,0))</f>
        <v>4.2972799999999998</v>
      </c>
      <c r="J14">
        <f>INDEX((LstockManMgtN2O!$V$9:$V$24),MATCH(G14,LstockManMgtN2O!$M$9:M$24,0))</f>
        <v>10.664799270682856</v>
      </c>
      <c r="K14">
        <f t="shared" si="2"/>
        <v>36.441829270682859</v>
      </c>
      <c r="L14">
        <f>H14/K14%</f>
        <v>58.942568004620668</v>
      </c>
      <c r="M14">
        <f t="shared" si="3"/>
        <v>2020</v>
      </c>
      <c r="N14">
        <f t="shared" si="4"/>
        <v>21.479750000000003</v>
      </c>
      <c r="O14">
        <f t="shared" si="5"/>
        <v>4.2972799999999998</v>
      </c>
      <c r="P14">
        <f>INDEX((LstockManMgtN2O!$AG$9:$AG$24),MATCH(M14,LstockManMgtN2O!$M$9:M$24,0))</f>
        <v>10.710841145525714</v>
      </c>
      <c r="Q14">
        <f t="shared" si="6"/>
        <v>36.487871145525716</v>
      </c>
      <c r="S14">
        <f t="shared" si="7"/>
        <v>4.60418748428566E-2</v>
      </c>
    </row>
    <row r="15" spans="1:19" x14ac:dyDescent="0.25">
      <c r="A15" s="146">
        <v>2025</v>
      </c>
      <c r="B15" s="146">
        <f>INDEX((LstockEnteric!$I$8:$I$23),MATCH(A15,LstockEnteric!$A$8:A$23,0))</f>
        <v>19.174750000000003</v>
      </c>
      <c r="C15" s="146">
        <f>INDEX((LstockManMgtCH4!$J$9:$J$24),MATCH(A15,LstockManMgtCH4!$A$9:A$24,0))</f>
        <v>4.3583049999999997</v>
      </c>
      <c r="D15" s="146">
        <f>INDEX((LstockManMgtN2O!$J$9:$J$24),MATCH(A15,LstockManMgtN2O!$A$9:A$24,0))</f>
        <v>10.662233996271786</v>
      </c>
      <c r="E15" s="146">
        <f t="shared" si="0"/>
        <v>34.195288996271792</v>
      </c>
      <c r="F15" s="146">
        <f t="shared" ref="F15:F20" si="8">B15/E15%</f>
        <v>56.074244619165427</v>
      </c>
      <c r="G15" s="146">
        <f t="shared" si="1"/>
        <v>2025</v>
      </c>
      <c r="H15">
        <f>INDEX((LstockEnteric!$S$8:$S$23),MATCH(G15,LstockEnteric!$K$8:K$23,0))</f>
        <v>22.535249999999998</v>
      </c>
      <c r="I15">
        <f>INDEX((LstockManMgtCH4!$V$9:$V$24),MATCH(G15,LstockManMgtCH4!$M$9:$M$24,0))</f>
        <v>4.4561799999999998</v>
      </c>
      <c r="J15">
        <f>INDEX((LstockManMgtN2O!$V$9:$V$24),MATCH(G15,LstockManMgtN2O!$M$9:M$24,0))</f>
        <v>11.139966349297499</v>
      </c>
      <c r="K15">
        <f t="shared" si="2"/>
        <v>38.131396349297496</v>
      </c>
      <c r="L15">
        <f t="shared" ref="L15:L20" si="9">H15/K15%</f>
        <v>59.09893724732472</v>
      </c>
      <c r="M15">
        <f t="shared" si="3"/>
        <v>2025</v>
      </c>
      <c r="N15">
        <f t="shared" si="4"/>
        <v>22.535249999999998</v>
      </c>
      <c r="O15">
        <f t="shared" si="5"/>
        <v>4.4561799999999998</v>
      </c>
      <c r="P15">
        <f>INDEX((LstockManMgtN2O!$AG$9:$AG$24),MATCH(M15,LstockManMgtN2O!$M$9:M$24,0))</f>
        <v>11.189077682463214</v>
      </c>
      <c r="Q15">
        <f t="shared" si="6"/>
        <v>38.180507682463215</v>
      </c>
      <c r="S15">
        <f t="shared" si="7"/>
        <v>4.9111333165718918E-2</v>
      </c>
    </row>
    <row r="16" spans="1:19" x14ac:dyDescent="0.25">
      <c r="A16" s="146">
        <v>2030</v>
      </c>
      <c r="B16" s="146">
        <f>INDEX((LstockEnteric!$I$8:$I$23),MATCH(A16,LstockEnteric!$A$8:A$23,0))</f>
        <v>19.069749999999999</v>
      </c>
      <c r="C16" s="146">
        <f>INDEX((LstockManMgtCH4!$J$9:$J$24),MATCH(A16,LstockManMgtCH4!$A$9:A$24,0))</f>
        <v>4.4199299999999999</v>
      </c>
      <c r="D16" s="146">
        <f>INDEX((LstockManMgtN2O!$J$9:$J$24),MATCH(A16,LstockManMgtN2O!$A$9:A$24,0))</f>
        <v>10.826827844678215</v>
      </c>
      <c r="E16" s="146">
        <f t="shared" si="0"/>
        <v>34.316507844678213</v>
      </c>
      <c r="F16" s="146">
        <f t="shared" si="8"/>
        <v>55.57019404862703</v>
      </c>
      <c r="G16" s="146">
        <f t="shared" si="1"/>
        <v>2030</v>
      </c>
      <c r="H16">
        <f>INDEX((LstockEnteric!$S$8:$S$23),MATCH(G16,LstockEnteric!$K$8:K$23,0))</f>
        <v>23.678249999999998</v>
      </c>
      <c r="I16">
        <f>INDEX((LstockManMgtCH4!$V$9:$V$24),MATCH(G16,LstockManMgtCH4!$M$9:$M$24,0))</f>
        <v>4.5643050000000001</v>
      </c>
      <c r="J16">
        <f>INDEX((LstockManMgtN2O!$V$9:$V$24),MATCH(G16,LstockManMgtN2O!$M$9:M$24,0))</f>
        <v>11.612870133982858</v>
      </c>
      <c r="K16">
        <f t="shared" si="2"/>
        <v>39.855425133982855</v>
      </c>
      <c r="L16">
        <f t="shared" si="9"/>
        <v>59.410356106854472</v>
      </c>
      <c r="M16">
        <f t="shared" si="3"/>
        <v>2030</v>
      </c>
      <c r="N16">
        <f t="shared" si="4"/>
        <v>23.678249999999998</v>
      </c>
      <c r="O16">
        <f t="shared" si="5"/>
        <v>4.5643050000000001</v>
      </c>
      <c r="P16">
        <f>INDEX((LstockManMgtN2O!$AG$9:$AG$24),MATCH(M16,LstockManMgtN2O!$M$9:M$24,0))</f>
        <v>11.647657328308572</v>
      </c>
      <c r="Q16">
        <f t="shared" si="6"/>
        <v>39.890212328308571</v>
      </c>
      <c r="S16">
        <f t="shared" si="7"/>
        <v>3.4787194325716086E-2</v>
      </c>
    </row>
    <row r="17" spans="1:19" x14ac:dyDescent="0.25">
      <c r="A17" s="146">
        <v>2035</v>
      </c>
      <c r="B17" s="146">
        <f>INDEX((LstockEnteric!$I$8:$I$23),MATCH(A17,LstockEnteric!$A$8:A$23,0))</f>
        <v>19.138500000000001</v>
      </c>
      <c r="C17" s="146">
        <f>INDEX((LstockManMgtCH4!$J$9:$J$24),MATCH(A17,LstockManMgtCH4!$A$9:A$24,0))</f>
        <v>4.51823</v>
      </c>
      <c r="D17" s="146">
        <f>INDEX((LstockManMgtN2O!$J$9:$J$24),MATCH(A17,LstockManMgtN2O!$A$9:A$24,0))</f>
        <v>11.395406263271251</v>
      </c>
      <c r="E17" s="146">
        <f t="shared" si="0"/>
        <v>35.052136263271251</v>
      </c>
      <c r="F17" s="146">
        <f t="shared" si="8"/>
        <v>54.600095857934726</v>
      </c>
      <c r="G17" s="146">
        <f t="shared" si="1"/>
        <v>2035</v>
      </c>
      <c r="H17">
        <f>INDEX((LstockEnteric!$S$8:$S$23),MATCH(G17,LstockEnteric!$K$8:K$23,0))</f>
        <v>25.369</v>
      </c>
      <c r="I17">
        <f>INDEX((LstockManMgtCH4!$V$9:$V$24),MATCH(G17,LstockManMgtCH4!$M$9:$M$24,0))</f>
        <v>4.7685549999999992</v>
      </c>
      <c r="J17">
        <f>INDEX((LstockManMgtN2O!$V$9:$V$24),MATCH(G17,LstockManMgtN2O!$M$9:M$24,0))</f>
        <v>12.428996977740358</v>
      </c>
      <c r="K17">
        <f t="shared" si="2"/>
        <v>42.56655197774036</v>
      </c>
      <c r="L17">
        <f t="shared" si="9"/>
        <v>59.598437790466086</v>
      </c>
      <c r="M17">
        <f t="shared" si="3"/>
        <v>2035</v>
      </c>
      <c r="N17">
        <f t="shared" si="4"/>
        <v>25.369</v>
      </c>
      <c r="O17">
        <f t="shared" si="5"/>
        <v>4.7685549999999992</v>
      </c>
      <c r="P17">
        <f>INDEX((LstockManMgtN2O!$AG$9:$AG$24),MATCH(M17,LstockManMgtN2O!$M$9:M$24,0))</f>
        <v>12.708495232722143</v>
      </c>
      <c r="Q17">
        <f t="shared" si="6"/>
        <v>42.846050232722142</v>
      </c>
      <c r="S17">
        <f t="shared" si="7"/>
        <v>0.27949825498178171</v>
      </c>
    </row>
    <row r="18" spans="1:19" x14ac:dyDescent="0.25">
      <c r="A18" s="146">
        <v>2040</v>
      </c>
      <c r="B18" s="146">
        <f>INDEX((LstockEnteric!$I$8:$I$23),MATCH(A18,LstockEnteric!$A$8:A$23,0))</f>
        <v>19.232250000000001</v>
      </c>
      <c r="C18" s="146">
        <f>INDEX((LstockManMgtCH4!$J$9:$J$24),MATCH(A18,LstockManMgtCH4!$A$9:A$24,0))</f>
        <v>4.6130550000000001</v>
      </c>
      <c r="D18" s="146">
        <f>INDEX((LstockManMgtN2O!$J$9:$J$24),MATCH(A18,LstockManMgtN2O!$A$9:A$24,0))</f>
        <v>11.951370469578571</v>
      </c>
      <c r="E18" s="146">
        <f t="shared" si="0"/>
        <v>35.796675469578574</v>
      </c>
      <c r="F18" s="146">
        <f t="shared" si="8"/>
        <v>53.726357958420813</v>
      </c>
      <c r="G18" s="146">
        <f t="shared" si="1"/>
        <v>2040</v>
      </c>
      <c r="H18">
        <f>INDEX((LstockEnteric!$S$8:$S$23),MATCH(G18,LstockEnteric!$K$8:K$23,0))</f>
        <v>27.059749999999998</v>
      </c>
      <c r="I18">
        <f>INDEX((LstockManMgtCH4!$V$9:$V$24),MATCH(G18,LstockManMgtCH4!$M$9:$M$24,0))</f>
        <v>4.969055</v>
      </c>
      <c r="J18">
        <f>INDEX((LstockManMgtN2O!$V$9:$V$24),MATCH(G18,LstockManMgtN2O!$M$9:M$24,0))</f>
        <v>13.200245000957143</v>
      </c>
      <c r="K18">
        <f t="shared" si="2"/>
        <v>45.229050000957145</v>
      </c>
      <c r="L18">
        <f t="shared" si="9"/>
        <v>59.828251973957791</v>
      </c>
      <c r="M18">
        <f t="shared" si="3"/>
        <v>2040</v>
      </c>
      <c r="N18">
        <f t="shared" si="4"/>
        <v>27.059749999999998</v>
      </c>
      <c r="O18">
        <f t="shared" si="5"/>
        <v>4.969055</v>
      </c>
      <c r="P18">
        <f>INDEX((LstockManMgtN2O!$AG$9:$AG$24),MATCH(M18,LstockManMgtN2O!$M$9:M$24,0))</f>
        <v>13.75671892485</v>
      </c>
      <c r="Q18">
        <f t="shared" si="6"/>
        <v>45.785523924849997</v>
      </c>
      <c r="S18">
        <f t="shared" si="7"/>
        <v>0.55647392389285244</v>
      </c>
    </row>
    <row r="19" spans="1:19" x14ac:dyDescent="0.25">
      <c r="A19" s="146">
        <v>2045</v>
      </c>
      <c r="B19" s="146">
        <f>INDEX((LstockEnteric!$I$8:$I$23),MATCH(A19,LstockEnteric!$A$8:A$23,0))</f>
        <v>19.385124999999999</v>
      </c>
      <c r="C19" s="146">
        <f>INDEX((LstockManMgtCH4!$J$9:$J$24),MATCH(A19,LstockManMgtCH4!$A$9:A$24,0))</f>
        <v>4.724755</v>
      </c>
      <c r="D19" s="146">
        <f>INDEX((LstockManMgtN2O!$J$9:$J$24),MATCH(A19,LstockManMgtN2O!$A$9:A$24,0))</f>
        <v>12.368502813574285</v>
      </c>
      <c r="E19" s="146">
        <f t="shared" si="0"/>
        <v>36.478382813574285</v>
      </c>
      <c r="F19" s="146">
        <f t="shared" si="8"/>
        <v>53.14140459315108</v>
      </c>
      <c r="G19" s="146">
        <f t="shared" si="1"/>
        <v>2045</v>
      </c>
      <c r="H19">
        <f>INDEX((LstockEnteric!$S$8:$S$23),MATCH(G19,LstockEnteric!$K$8:K$23,0))</f>
        <v>28.734750000000002</v>
      </c>
      <c r="I19">
        <f>INDEX((LstockManMgtCH4!$V$9:$V$24),MATCH(G19,LstockManMgtCH4!$M$9:$M$24,0))</f>
        <v>5.1799299999999997</v>
      </c>
      <c r="J19">
        <f>INDEX((LstockManMgtN2O!$V$9:$V$24),MATCH(G19,LstockManMgtN2O!$M$9:M$24,0))</f>
        <v>13.610177843114286</v>
      </c>
      <c r="K19">
        <f t="shared" si="2"/>
        <v>47.52485784311429</v>
      </c>
      <c r="L19">
        <f t="shared" si="9"/>
        <v>60.462569072499143</v>
      </c>
      <c r="M19">
        <f t="shared" si="3"/>
        <v>2045</v>
      </c>
      <c r="N19">
        <f t="shared" si="4"/>
        <v>28.734750000000002</v>
      </c>
      <c r="O19">
        <f t="shared" si="5"/>
        <v>5.1799299999999997</v>
      </c>
      <c r="P19">
        <f>INDEX((LstockManMgtN2O!$AG$9:$AG$24),MATCH(M19,LstockManMgtN2O!$M$9:M$24,0))</f>
        <v>14.642147960333929</v>
      </c>
      <c r="Q19">
        <f t="shared" si="6"/>
        <v>48.556827960333933</v>
      </c>
      <c r="S19">
        <f t="shared" si="7"/>
        <v>1.0319701172196432</v>
      </c>
    </row>
    <row r="20" spans="1:19" x14ac:dyDescent="0.25">
      <c r="A20" s="146">
        <v>2050</v>
      </c>
      <c r="B20" s="146">
        <f>INDEX((LstockEnteric!$I$8:$I$23),MATCH(A20,LstockEnteric!$A$8:A$23,0))</f>
        <v>19.538</v>
      </c>
      <c r="C20" s="146">
        <f>INDEX((LstockManMgtCH4!$J$9:$J$24),MATCH(A20,LstockManMgtCH4!$A$9:A$24,0))</f>
        <v>4.8364549999999999</v>
      </c>
      <c r="D20" s="146">
        <f>INDEX((LstockManMgtN2O!$J$9:$J$24),MATCH(A20,LstockManMgtN2O!$A$9:A$24,0))</f>
        <v>12.785635157569999</v>
      </c>
      <c r="E20" s="146">
        <f t="shared" si="0"/>
        <v>37.160090157569996</v>
      </c>
      <c r="F20" s="146">
        <f t="shared" si="8"/>
        <v>52.577913339695847</v>
      </c>
      <c r="G20" s="146">
        <f t="shared" si="1"/>
        <v>2050</v>
      </c>
      <c r="H20">
        <f>INDEX((LstockEnteric!$S$8:$S$23),MATCH(G20,LstockEnteric!$K$8:K$23,0))</f>
        <v>30.409749999999999</v>
      </c>
      <c r="I20">
        <f>INDEX((LstockManMgtCH4!$V$9:$V$24),MATCH(G20,LstockManMgtCH4!$M$9:$M$24,0))</f>
        <v>5.3908050000000003</v>
      </c>
      <c r="J20">
        <f>INDEX((LstockManMgtN2O!$V$9:$V$24),MATCH(G20,LstockManMgtN2O!$M$9:M$24,0))</f>
        <v>14.034293768844643</v>
      </c>
      <c r="K20">
        <f t="shared" si="2"/>
        <v>49.834848768844644</v>
      </c>
      <c r="L20">
        <f t="shared" si="9"/>
        <v>61.021054044035402</v>
      </c>
      <c r="M20">
        <f t="shared" si="3"/>
        <v>2050</v>
      </c>
      <c r="N20">
        <f t="shared" si="4"/>
        <v>30.409749999999999</v>
      </c>
      <c r="O20">
        <f t="shared" si="5"/>
        <v>5.3908050000000003</v>
      </c>
      <c r="P20">
        <f>INDEX((LstockManMgtN2O!$AG$9:$AG$24),MATCH(M20,LstockManMgtN2O!$M$9:M$24,0))</f>
        <v>15.527576995817858</v>
      </c>
      <c r="Q20">
        <f t="shared" si="6"/>
        <v>51.328131995817863</v>
      </c>
      <c r="S20">
        <f t="shared" si="7"/>
        <v>1.4932832269732188</v>
      </c>
    </row>
  </sheetData>
  <mergeCells count="3">
    <mergeCell ref="B3:E3"/>
    <mergeCell ref="H3:K3"/>
    <mergeCell ref="M3:Q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A72BFD-F6AB-474E-918C-0B761B0F58E9}"/>
</file>

<file path=customXml/itemProps2.xml><?xml version="1.0" encoding="utf-8"?>
<ds:datastoreItem xmlns:ds="http://schemas.openxmlformats.org/officeDocument/2006/customXml" ds:itemID="{5CAFB0DE-F3E7-4E60-BCC3-33B890E4ECC5}"/>
</file>

<file path=customXml/itemProps3.xml><?xml version="1.0" encoding="utf-8"?>
<ds:datastoreItem xmlns:ds="http://schemas.openxmlformats.org/officeDocument/2006/customXml" ds:itemID="{FB1B90FF-56CC-48D6-9456-762AF7F37D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CropBurn</vt:lpstr>
      <vt:lpstr>DirN2OManSoil</vt:lpstr>
      <vt:lpstr>DirN2OManSoilPol</vt:lpstr>
      <vt:lpstr>IndN2OManSoil</vt:lpstr>
      <vt:lpstr>CropScenarios</vt:lpstr>
      <vt:lpstr>LstockEnteric</vt:lpstr>
      <vt:lpstr>LstockManMgtCH4</vt:lpstr>
      <vt:lpstr>LstockManMgtN2O</vt:lpstr>
      <vt:lpstr>LstockScen</vt:lpstr>
      <vt:lpstr>Master Table 2006 2013</vt:lpstr>
      <vt:lpstr>LStock_Heads</vt:lpstr>
      <vt:lpstr>LStock_Options</vt:lpstr>
      <vt:lpstr>Ls2006</vt:lpstr>
      <vt:lpstr>Ls2007</vt:lpstr>
      <vt:lpstr>Ls2008</vt:lpstr>
      <vt:lpstr>Ls2009</vt:lpstr>
      <vt:lpstr>Ls2010</vt:lpstr>
      <vt:lpstr>Ls2011</vt:lpstr>
      <vt:lpstr>Ls2012</vt:lpstr>
      <vt:lpstr>Ls2013</vt:lpstr>
      <vt:lpstr>CH4 Emission factors</vt:lpstr>
      <vt:lpstr>N2OEF</vt:lpstr>
      <vt:lpstr>MMS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Elia</cp:lastModifiedBy>
  <dcterms:created xsi:type="dcterms:W3CDTF">2016-06-24T07:17:13Z</dcterms:created>
  <dcterms:modified xsi:type="dcterms:W3CDTF">2016-09-23T07:02:29Z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